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0" yWindow="420" windowWidth="22476" windowHeight="11112"/>
  </bookViews>
  <sheets>
    <sheet name="16.07.2024 школы +сады" sheetId="47" r:id="rId1"/>
  </sheets>
  <externalReferences>
    <externalReference r:id="rId2"/>
  </externalReferences>
  <definedNames>
    <definedName name="_xlnm._FilterDatabase" localSheetId="0" hidden="1">'16.07.2024 школы +сады'!$C$14:$W$436</definedName>
    <definedName name="_xlnm.Print_Titles" localSheetId="0">'16.07.2024 школы +сады'!$12:$13</definedName>
    <definedName name="_xlnm.Print_Area" localSheetId="0">'16.07.2024 школы +сады'!$C$1:$M$440</definedName>
  </definedNames>
  <calcPr calcId="144525"/>
</workbook>
</file>

<file path=xl/calcChain.xml><?xml version="1.0" encoding="utf-8"?>
<calcChain xmlns="http://schemas.openxmlformats.org/spreadsheetml/2006/main">
  <c r="H382" i="47" l="1"/>
  <c r="K24" i="47" l="1"/>
  <c r="I228" i="47" l="1"/>
  <c r="I183" i="47"/>
  <c r="M396" i="47"/>
  <c r="M395" i="47"/>
  <c r="M394" i="47"/>
  <c r="K396" i="47"/>
  <c r="K395" i="47"/>
  <c r="K394" i="47"/>
  <c r="J396" i="47"/>
  <c r="J395" i="47"/>
  <c r="J394" i="47"/>
  <c r="I396" i="47"/>
  <c r="I395" i="47"/>
  <c r="I394" i="47"/>
  <c r="J230" i="47"/>
  <c r="J229" i="47"/>
  <c r="J228" i="47"/>
  <c r="I230" i="47"/>
  <c r="I229" i="47"/>
  <c r="M185" i="47"/>
  <c r="M184" i="47"/>
  <c r="M183" i="47"/>
  <c r="L185" i="47"/>
  <c r="L184" i="47"/>
  <c r="L183" i="47"/>
  <c r="K185" i="47"/>
  <c r="K184" i="47"/>
  <c r="K183" i="47"/>
  <c r="J185" i="47"/>
  <c r="J184" i="47"/>
  <c r="J183" i="47"/>
  <c r="I184" i="47"/>
  <c r="L83" i="47"/>
  <c r="M85" i="47"/>
  <c r="M84" i="47"/>
  <c r="M83" i="47"/>
  <c r="L85" i="47"/>
  <c r="L84" i="47"/>
  <c r="K85" i="47"/>
  <c r="K84" i="47"/>
  <c r="K83" i="47"/>
  <c r="J85" i="47"/>
  <c r="J84" i="47"/>
  <c r="J83" i="47"/>
  <c r="I83" i="47"/>
  <c r="M25" i="47"/>
  <c r="M24" i="47"/>
  <c r="L25" i="47"/>
  <c r="L24" i="47"/>
  <c r="K25" i="47"/>
  <c r="I23" i="47"/>
  <c r="K370" i="47"/>
  <c r="H370" i="47" s="1"/>
  <c r="K369" i="47"/>
  <c r="H369" i="47" s="1"/>
  <c r="K368" i="47"/>
  <c r="H368" i="47" s="1"/>
  <c r="H366" i="47"/>
  <c r="H356" i="47"/>
  <c r="K360" i="47"/>
  <c r="H360" i="47" s="1"/>
  <c r="K359" i="47"/>
  <c r="H359" i="47" s="1"/>
  <c r="K358" i="47"/>
  <c r="H358" i="47" s="1"/>
  <c r="H350" i="47"/>
  <c r="H349" i="47"/>
  <c r="H348" i="47"/>
  <c r="H346" i="47"/>
  <c r="K340" i="47"/>
  <c r="H340" i="47" s="1"/>
  <c r="K339" i="47"/>
  <c r="H339" i="47" s="1"/>
  <c r="K338" i="47"/>
  <c r="H338" i="47" s="1"/>
  <c r="H336" i="47"/>
  <c r="K320" i="47"/>
  <c r="K230" i="47" s="1"/>
  <c r="K319" i="47"/>
  <c r="K229" i="47" s="1"/>
  <c r="K318" i="47"/>
  <c r="K228" i="47" s="1"/>
  <c r="N320" i="47"/>
  <c r="N318" i="47"/>
  <c r="N319" i="47" s="1"/>
  <c r="L415" i="47"/>
  <c r="L416" i="47"/>
  <c r="L396" i="47" s="1"/>
  <c r="L414" i="47"/>
  <c r="L394" i="47" s="1"/>
  <c r="H391" i="47"/>
  <c r="H390" i="47"/>
  <c r="H389" i="47"/>
  <c r="M387" i="47"/>
  <c r="L387" i="47"/>
  <c r="K387" i="47"/>
  <c r="J387" i="47"/>
  <c r="I387" i="47"/>
  <c r="H387" i="47" l="1"/>
  <c r="K18" i="47"/>
  <c r="M255" i="47"/>
  <c r="M254" i="47"/>
  <c r="M253" i="47"/>
  <c r="L255" i="47"/>
  <c r="L254" i="47"/>
  <c r="L253" i="47"/>
  <c r="M245" i="47"/>
  <c r="M230" i="47" s="1"/>
  <c r="M244" i="47"/>
  <c r="M229" i="47" s="1"/>
  <c r="M243" i="47"/>
  <c r="M228" i="47" s="1"/>
  <c r="L244" i="47"/>
  <c r="L229" i="47" s="1"/>
  <c r="L245" i="47"/>
  <c r="L230" i="47" s="1"/>
  <c r="L243" i="47"/>
  <c r="L228" i="47" s="1"/>
  <c r="N246" i="47" l="1"/>
  <c r="O245" i="47"/>
  <c r="O244" i="47" s="1"/>
  <c r="O243" i="47" l="1"/>
  <c r="H225" i="47" l="1"/>
  <c r="H224" i="47"/>
  <c r="H223" i="47"/>
  <c r="M221" i="47"/>
  <c r="L221" i="47"/>
  <c r="K221" i="47"/>
  <c r="J221" i="47"/>
  <c r="I221" i="47"/>
  <c r="H221" i="47"/>
  <c r="H200" i="47"/>
  <c r="H436" i="47" l="1"/>
  <c r="L435" i="47"/>
  <c r="L395" i="47" s="1"/>
  <c r="H435" i="47"/>
  <c r="H434" i="47"/>
  <c r="M432" i="47"/>
  <c r="L432" i="47"/>
  <c r="K432" i="47"/>
  <c r="J432" i="47"/>
  <c r="I432" i="47"/>
  <c r="H431" i="47"/>
  <c r="H430" i="47"/>
  <c r="H429" i="47"/>
  <c r="M427" i="47"/>
  <c r="L427" i="47"/>
  <c r="K427" i="47"/>
  <c r="J427" i="47"/>
  <c r="I427" i="47"/>
  <c r="H427" i="47" s="1"/>
  <c r="H426" i="47"/>
  <c r="H425" i="47"/>
  <c r="H424" i="47"/>
  <c r="M422" i="47"/>
  <c r="K422" i="47"/>
  <c r="J422" i="47"/>
  <c r="I422" i="47"/>
  <c r="H421" i="47"/>
  <c r="H420" i="47"/>
  <c r="H419" i="47"/>
  <c r="M417" i="47"/>
  <c r="L417" i="47"/>
  <c r="K417" i="47"/>
  <c r="J417" i="47"/>
  <c r="I417" i="47"/>
  <c r="H417" i="47"/>
  <c r="H416" i="47"/>
  <c r="H415" i="47"/>
  <c r="H414" i="47"/>
  <c r="M412" i="47"/>
  <c r="K412" i="47"/>
  <c r="J412" i="47"/>
  <c r="I412" i="47"/>
  <c r="H412" i="47"/>
  <c r="H411" i="47"/>
  <c r="H410" i="47"/>
  <c r="H409" i="47"/>
  <c r="O407" i="47"/>
  <c r="M407" i="47"/>
  <c r="L407" i="47"/>
  <c r="K407" i="47"/>
  <c r="J407" i="47"/>
  <c r="I407" i="47"/>
  <c r="H407" i="47"/>
  <c r="O406" i="47"/>
  <c r="H406" i="47"/>
  <c r="H405" i="47"/>
  <c r="O404" i="47"/>
  <c r="O405" i="47" s="1"/>
  <c r="H404" i="47"/>
  <c r="P402" i="47"/>
  <c r="M402" i="47"/>
  <c r="L402" i="47"/>
  <c r="K402" i="47"/>
  <c r="J402" i="47"/>
  <c r="I402" i="47"/>
  <c r="H401" i="47"/>
  <c r="H400" i="47"/>
  <c r="H399" i="47"/>
  <c r="M397" i="47"/>
  <c r="L397" i="47"/>
  <c r="K397" i="47"/>
  <c r="J397" i="47"/>
  <c r="I397" i="47"/>
  <c r="H397" i="47"/>
  <c r="H396" i="47"/>
  <c r="H395" i="47"/>
  <c r="H394" i="47"/>
  <c r="M392" i="47"/>
  <c r="L392" i="47"/>
  <c r="K392" i="47"/>
  <c r="J392" i="47"/>
  <c r="I392" i="47"/>
  <c r="H386" i="47"/>
  <c r="H385" i="47"/>
  <c r="H384" i="47"/>
  <c r="M381" i="47"/>
  <c r="L381" i="47"/>
  <c r="K381" i="47"/>
  <c r="J381" i="47"/>
  <c r="H381" i="47"/>
  <c r="H380" i="47"/>
  <c r="H379" i="47"/>
  <c r="H378" i="47"/>
  <c r="M376" i="47"/>
  <c r="L376" i="47"/>
  <c r="K376" i="47"/>
  <c r="J376" i="47"/>
  <c r="I376" i="47"/>
  <c r="H375" i="47"/>
  <c r="H374" i="47"/>
  <c r="H373" i="47"/>
  <c r="M371" i="47"/>
  <c r="L371" i="47"/>
  <c r="K371" i="47"/>
  <c r="J371" i="47"/>
  <c r="I371" i="47"/>
  <c r="H365" i="47"/>
  <c r="H364" i="47"/>
  <c r="H363" i="47"/>
  <c r="M361" i="47"/>
  <c r="L361" i="47"/>
  <c r="K361" i="47"/>
  <c r="J361" i="47"/>
  <c r="I361" i="47"/>
  <c r="H361" i="47" s="1"/>
  <c r="H355" i="47"/>
  <c r="H354" i="47"/>
  <c r="H353" i="47"/>
  <c r="M351" i="47"/>
  <c r="L351" i="47"/>
  <c r="K351" i="47"/>
  <c r="J351" i="47"/>
  <c r="I351" i="47"/>
  <c r="H345" i="47"/>
  <c r="H344" i="47"/>
  <c r="H343" i="47"/>
  <c r="M341" i="47"/>
  <c r="L341" i="47"/>
  <c r="K341" i="47"/>
  <c r="J341" i="47"/>
  <c r="I341" i="47"/>
  <c r="H335" i="47"/>
  <c r="H334" i="47"/>
  <c r="H333" i="47"/>
  <c r="M331" i="47"/>
  <c r="L331" i="47"/>
  <c r="K331" i="47"/>
  <c r="J331" i="47"/>
  <c r="I331" i="47"/>
  <c r="H330" i="47"/>
  <c r="H329" i="47"/>
  <c r="Q328" i="47"/>
  <c r="P328" i="47"/>
  <c r="P329" i="47" s="1"/>
  <c r="H328" i="47"/>
  <c r="L326" i="47"/>
  <c r="K326" i="47"/>
  <c r="J326" i="47"/>
  <c r="I326" i="47"/>
  <c r="H325" i="47"/>
  <c r="H324" i="47"/>
  <c r="H323" i="47"/>
  <c r="M321" i="47"/>
  <c r="L321" i="47"/>
  <c r="K321" i="47"/>
  <c r="J321" i="47"/>
  <c r="I321" i="47"/>
  <c r="P320" i="47"/>
  <c r="Q318" i="47" s="1"/>
  <c r="H320" i="47"/>
  <c r="H319" i="47"/>
  <c r="H318" i="47"/>
  <c r="M316" i="47"/>
  <c r="L316" i="47"/>
  <c r="J316" i="47"/>
  <c r="I316" i="47"/>
  <c r="H315" i="47"/>
  <c r="H314" i="47"/>
  <c r="H313" i="47"/>
  <c r="M311" i="47"/>
  <c r="L311" i="47"/>
  <c r="K311" i="47"/>
  <c r="J311" i="47"/>
  <c r="I311" i="47"/>
  <c r="H311" i="47" s="1"/>
  <c r="P310" i="47"/>
  <c r="Q308" i="47" s="1"/>
  <c r="H310" i="47"/>
  <c r="H309" i="47"/>
  <c r="P308" i="47"/>
  <c r="P309" i="47" s="1"/>
  <c r="H308" i="47"/>
  <c r="M306" i="47"/>
  <c r="L306" i="47"/>
  <c r="K306" i="47"/>
  <c r="J306" i="47"/>
  <c r="I306" i="47"/>
  <c r="H305" i="47"/>
  <c r="H304" i="47"/>
  <c r="H303" i="47"/>
  <c r="M301" i="47"/>
  <c r="L301" i="47"/>
  <c r="K301" i="47"/>
  <c r="J301" i="47"/>
  <c r="I301" i="47"/>
  <c r="H301" i="47" s="1"/>
  <c r="P300" i="47"/>
  <c r="H300" i="47"/>
  <c r="H299" i="47"/>
  <c r="Q298" i="47"/>
  <c r="P298" i="47"/>
  <c r="P299" i="47" s="1"/>
  <c r="H298" i="47"/>
  <c r="M296" i="47"/>
  <c r="L296" i="47"/>
  <c r="K296" i="47"/>
  <c r="J296" i="47"/>
  <c r="I296" i="47"/>
  <c r="H295" i="47"/>
  <c r="H294" i="47"/>
  <c r="H293" i="47"/>
  <c r="M291" i="47"/>
  <c r="L291" i="47"/>
  <c r="K291" i="47"/>
  <c r="J291" i="47"/>
  <c r="I291" i="47"/>
  <c r="H291" i="47"/>
  <c r="P290" i="47"/>
  <c r="H290" i="47"/>
  <c r="H289" i="47"/>
  <c r="P288" i="47"/>
  <c r="P289" i="47" s="1"/>
  <c r="H288" i="47"/>
  <c r="M286" i="47"/>
  <c r="L286" i="47"/>
  <c r="K286" i="47"/>
  <c r="J286" i="47"/>
  <c r="I286" i="47"/>
  <c r="H286" i="47" s="1"/>
  <c r="P285" i="47"/>
  <c r="P283" i="47" s="1"/>
  <c r="P284" i="47" s="1"/>
  <c r="H285" i="47"/>
  <c r="H284" i="47"/>
  <c r="H283" i="47"/>
  <c r="M281" i="47"/>
  <c r="L281" i="47"/>
  <c r="K281" i="47"/>
  <c r="J281" i="47"/>
  <c r="I281" i="47"/>
  <c r="P280" i="47"/>
  <c r="Q280" i="47" s="1"/>
  <c r="H280" i="47"/>
  <c r="H279" i="47"/>
  <c r="H278" i="47"/>
  <c r="M276" i="47"/>
  <c r="L276" i="47"/>
  <c r="K276" i="47"/>
  <c r="J276" i="47"/>
  <c r="I276" i="47"/>
  <c r="P275" i="47"/>
  <c r="Q275" i="47" s="1"/>
  <c r="H275" i="47"/>
  <c r="N274" i="47"/>
  <c r="H274" i="47"/>
  <c r="P273" i="47"/>
  <c r="P274" i="47" s="1"/>
  <c r="Q274" i="47" s="1"/>
  <c r="H273" i="47"/>
  <c r="M271" i="47"/>
  <c r="L271" i="47"/>
  <c r="K271" i="47"/>
  <c r="J271" i="47"/>
  <c r="I271" i="47"/>
  <c r="H270" i="47"/>
  <c r="H269" i="47"/>
  <c r="H268" i="47"/>
  <c r="M266" i="47"/>
  <c r="L266" i="47"/>
  <c r="K266" i="47"/>
  <c r="J266" i="47"/>
  <c r="I266" i="47"/>
  <c r="P265" i="47"/>
  <c r="H265" i="47"/>
  <c r="H264" i="47"/>
  <c r="H263" i="47"/>
  <c r="M261" i="47"/>
  <c r="L261" i="47"/>
  <c r="K261" i="47"/>
  <c r="J261" i="47"/>
  <c r="I261" i="47"/>
  <c r="P260" i="47"/>
  <c r="Q260" i="47" s="1"/>
  <c r="H260" i="47"/>
  <c r="H259" i="47"/>
  <c r="H258" i="47"/>
  <c r="N256" i="47"/>
  <c r="M256" i="47"/>
  <c r="L256" i="47"/>
  <c r="K256" i="47"/>
  <c r="J256" i="47"/>
  <c r="I256" i="47"/>
  <c r="Q255" i="47"/>
  <c r="Q254" i="47" s="1"/>
  <c r="O255" i="47"/>
  <c r="O254" i="47" s="1"/>
  <c r="O253" i="47" s="1"/>
  <c r="H255" i="47"/>
  <c r="H254" i="47"/>
  <c r="H253" i="47"/>
  <c r="K251" i="47"/>
  <c r="J251" i="47"/>
  <c r="I251" i="47"/>
  <c r="H250" i="47"/>
  <c r="H249" i="47"/>
  <c r="H248" i="47"/>
  <c r="M246" i="47"/>
  <c r="L246" i="47"/>
  <c r="K246" i="47"/>
  <c r="J246" i="47"/>
  <c r="I246" i="47"/>
  <c r="Q245" i="47"/>
  <c r="K241" i="47"/>
  <c r="J241" i="47"/>
  <c r="I241" i="47"/>
  <c r="Q240" i="47"/>
  <c r="R240" i="47" s="1"/>
  <c r="P240" i="47"/>
  <c r="O240" i="47"/>
  <c r="H240" i="47"/>
  <c r="H239" i="47"/>
  <c r="Q238" i="47"/>
  <c r="R238" i="47" s="1"/>
  <c r="H238" i="47"/>
  <c r="N236" i="47"/>
  <c r="M236" i="47"/>
  <c r="L236" i="47"/>
  <c r="K236" i="47"/>
  <c r="J236" i="47"/>
  <c r="I236" i="47"/>
  <c r="O235" i="47"/>
  <c r="P235" i="47" s="1"/>
  <c r="H235" i="47"/>
  <c r="O234" i="47"/>
  <c r="H234" i="47"/>
  <c r="H233" i="47"/>
  <c r="N231" i="47"/>
  <c r="M231" i="47"/>
  <c r="L231" i="47"/>
  <c r="K231" i="47"/>
  <c r="J231" i="47"/>
  <c r="I231" i="47"/>
  <c r="P230" i="47"/>
  <c r="P229" i="47"/>
  <c r="P228" i="47"/>
  <c r="P226" i="47" s="1"/>
  <c r="H220" i="47"/>
  <c r="H219" i="47"/>
  <c r="H218" i="47"/>
  <c r="M216" i="47"/>
  <c r="L216" i="47"/>
  <c r="K216" i="47"/>
  <c r="J216" i="47"/>
  <c r="I216" i="47"/>
  <c r="H216" i="47" s="1"/>
  <c r="H215" i="47"/>
  <c r="H214" i="47"/>
  <c r="H213" i="47"/>
  <c r="M211" i="47"/>
  <c r="L211" i="47"/>
  <c r="K211" i="47"/>
  <c r="J211" i="47"/>
  <c r="I211" i="47"/>
  <c r="I210" i="47"/>
  <c r="H209" i="47"/>
  <c r="H208" i="47"/>
  <c r="M206" i="47"/>
  <c r="L206" i="47"/>
  <c r="K206" i="47"/>
  <c r="J206" i="47"/>
  <c r="I205" i="47"/>
  <c r="I185" i="47" s="1"/>
  <c r="H204" i="47"/>
  <c r="H203" i="47"/>
  <c r="M201" i="47"/>
  <c r="L201" i="47"/>
  <c r="K201" i="47"/>
  <c r="J201" i="47"/>
  <c r="H199" i="47"/>
  <c r="H198" i="47"/>
  <c r="M196" i="47"/>
  <c r="L196" i="47"/>
  <c r="K196" i="47"/>
  <c r="J196" i="47"/>
  <c r="I196" i="47"/>
  <c r="H195" i="47"/>
  <c r="H194" i="47"/>
  <c r="H193" i="47"/>
  <c r="L191" i="47"/>
  <c r="K191" i="47"/>
  <c r="J191" i="47"/>
  <c r="I191" i="47"/>
  <c r="H190" i="47"/>
  <c r="H189" i="47"/>
  <c r="H188" i="47"/>
  <c r="M186" i="47"/>
  <c r="L186" i="47"/>
  <c r="K186" i="47"/>
  <c r="J186" i="47"/>
  <c r="S181" i="47" s="1"/>
  <c r="I186" i="47"/>
  <c r="H186" i="47" s="1"/>
  <c r="S185" i="47"/>
  <c r="R185" i="47"/>
  <c r="Q185" i="47"/>
  <c r="P185" i="47"/>
  <c r="S184" i="47"/>
  <c r="R184" i="47"/>
  <c r="Q184" i="47"/>
  <c r="P184" i="47"/>
  <c r="S183" i="47"/>
  <c r="R183" i="47"/>
  <c r="Q183" i="47"/>
  <c r="P183" i="47"/>
  <c r="L181" i="47"/>
  <c r="S182" i="47"/>
  <c r="R182" i="47"/>
  <c r="Q182" i="47"/>
  <c r="P182" i="47"/>
  <c r="R181" i="47"/>
  <c r="Q181" i="47"/>
  <c r="P181" i="47"/>
  <c r="H180" i="47"/>
  <c r="H179" i="47"/>
  <c r="H178" i="47"/>
  <c r="M176" i="47"/>
  <c r="L176" i="47"/>
  <c r="K176" i="47"/>
  <c r="J176" i="47"/>
  <c r="I176" i="47"/>
  <c r="H176" i="47" s="1"/>
  <c r="H175" i="47"/>
  <c r="H174" i="47"/>
  <c r="H173" i="47"/>
  <c r="M171" i="47"/>
  <c r="L171" i="47"/>
  <c r="K171" i="47"/>
  <c r="J171" i="47"/>
  <c r="I171" i="47"/>
  <c r="H170" i="47"/>
  <c r="H169" i="47"/>
  <c r="H168" i="47"/>
  <c r="M166" i="47"/>
  <c r="L166" i="47"/>
  <c r="K166" i="47"/>
  <c r="J166" i="47"/>
  <c r="I166" i="47"/>
  <c r="H165" i="47"/>
  <c r="H164" i="47"/>
  <c r="H163" i="47"/>
  <c r="M161" i="47"/>
  <c r="L161" i="47"/>
  <c r="K161" i="47"/>
  <c r="J161" i="47"/>
  <c r="I161" i="47"/>
  <c r="H160" i="47"/>
  <c r="H159" i="47"/>
  <c r="H158" i="47"/>
  <c r="L156" i="47"/>
  <c r="K156" i="47"/>
  <c r="J156" i="47"/>
  <c r="I156" i="47"/>
  <c r="H155" i="47"/>
  <c r="H154" i="47"/>
  <c r="H153" i="47"/>
  <c r="L151" i="47"/>
  <c r="K151" i="47"/>
  <c r="J151" i="47"/>
  <c r="I151" i="47"/>
  <c r="H150" i="47"/>
  <c r="H149" i="47"/>
  <c r="H148" i="47"/>
  <c r="M146" i="47"/>
  <c r="L146" i="47"/>
  <c r="K146" i="47"/>
  <c r="J146" i="47"/>
  <c r="I146" i="47"/>
  <c r="H146" i="47" s="1"/>
  <c r="H145" i="47"/>
  <c r="H144" i="47"/>
  <c r="H143" i="47"/>
  <c r="M141" i="47"/>
  <c r="L141" i="47"/>
  <c r="K141" i="47"/>
  <c r="J141" i="47"/>
  <c r="I141" i="47"/>
  <c r="H140" i="47"/>
  <c r="H139" i="47"/>
  <c r="H138" i="47"/>
  <c r="N138" i="47" s="1"/>
  <c r="M136" i="47"/>
  <c r="L136" i="47"/>
  <c r="K136" i="47"/>
  <c r="J136" i="47"/>
  <c r="I136" i="47"/>
  <c r="H136" i="47" s="1"/>
  <c r="H135" i="47"/>
  <c r="H134" i="47"/>
  <c r="H133" i="47"/>
  <c r="M131" i="47"/>
  <c r="L131" i="47"/>
  <c r="K131" i="47"/>
  <c r="J131" i="47"/>
  <c r="I131" i="47"/>
  <c r="H130" i="47"/>
  <c r="H129" i="47"/>
  <c r="H128" i="47"/>
  <c r="M126" i="47"/>
  <c r="L126" i="47"/>
  <c r="K126" i="47"/>
  <c r="J126" i="47"/>
  <c r="I126" i="47"/>
  <c r="P125" i="47"/>
  <c r="H125" i="47"/>
  <c r="P124" i="47"/>
  <c r="H124" i="47"/>
  <c r="P123" i="47"/>
  <c r="H123" i="47"/>
  <c r="M121" i="47"/>
  <c r="L121" i="47"/>
  <c r="K121" i="47"/>
  <c r="J121" i="47"/>
  <c r="I121" i="47"/>
  <c r="S120" i="47"/>
  <c r="S119" i="47" s="1"/>
  <c r="R120" i="47"/>
  <c r="Q120" i="47"/>
  <c r="Q119" i="47" s="1"/>
  <c r="Q118" i="47" s="1"/>
  <c r="P120" i="47"/>
  <c r="P119" i="47" s="1"/>
  <c r="P118" i="47" s="1"/>
  <c r="H120" i="47"/>
  <c r="R119" i="47"/>
  <c r="R118" i="47" s="1"/>
  <c r="H119" i="47"/>
  <c r="S118" i="47"/>
  <c r="H118" i="47"/>
  <c r="M116" i="47"/>
  <c r="L116" i="47"/>
  <c r="K116" i="47"/>
  <c r="J116" i="47"/>
  <c r="I116" i="47"/>
  <c r="O116" i="47" s="1"/>
  <c r="P115" i="47"/>
  <c r="H115" i="47"/>
  <c r="P114" i="47"/>
  <c r="H114" i="47"/>
  <c r="H113" i="47"/>
  <c r="M111" i="47"/>
  <c r="L111" i="47"/>
  <c r="K111" i="47"/>
  <c r="J111" i="47"/>
  <c r="I111" i="47"/>
  <c r="V110" i="47"/>
  <c r="S110" i="47"/>
  <c r="R110" i="47"/>
  <c r="Q110" i="47"/>
  <c r="I110" i="47"/>
  <c r="H110" i="47" s="1"/>
  <c r="V109" i="47"/>
  <c r="S109" i="47"/>
  <c r="R109" i="47"/>
  <c r="Q109" i="47"/>
  <c r="U109" i="47" s="1"/>
  <c r="I109" i="47"/>
  <c r="I84" i="47" s="1"/>
  <c r="H108" i="47"/>
  <c r="T106" i="47"/>
  <c r="P106" i="47"/>
  <c r="M106" i="47"/>
  <c r="L106" i="47"/>
  <c r="K106" i="47"/>
  <c r="J106" i="47"/>
  <c r="O105" i="47"/>
  <c r="H105" i="47"/>
  <c r="O104" i="47"/>
  <c r="N104" i="47"/>
  <c r="H104" i="47"/>
  <c r="H103" i="47"/>
  <c r="M101" i="47"/>
  <c r="L101" i="47"/>
  <c r="K101" i="47"/>
  <c r="J101" i="47"/>
  <c r="I101" i="47"/>
  <c r="H100" i="47"/>
  <c r="H99" i="47"/>
  <c r="H98" i="47"/>
  <c r="M96" i="47"/>
  <c r="L96" i="47"/>
  <c r="K96" i="47"/>
  <c r="J96" i="47"/>
  <c r="I96" i="47"/>
  <c r="I95" i="47"/>
  <c r="H94" i="47"/>
  <c r="H93" i="47"/>
  <c r="M91" i="47"/>
  <c r="L91" i="47"/>
  <c r="K91" i="47"/>
  <c r="J91" i="47"/>
  <c r="I91" i="47"/>
  <c r="H91" i="47" s="1"/>
  <c r="P90" i="47"/>
  <c r="N90" i="47"/>
  <c r="H90" i="47"/>
  <c r="P89" i="47"/>
  <c r="N89" i="47"/>
  <c r="H89" i="47"/>
  <c r="N88" i="47"/>
  <c r="H88" i="47"/>
  <c r="M86" i="47"/>
  <c r="L86" i="47"/>
  <c r="K86" i="47"/>
  <c r="J86" i="47"/>
  <c r="I86" i="47"/>
  <c r="T85" i="47"/>
  <c r="S85" i="47"/>
  <c r="R85" i="47"/>
  <c r="Q85" i="47"/>
  <c r="P85" i="47"/>
  <c r="T84" i="47"/>
  <c r="S84" i="47"/>
  <c r="R84" i="47"/>
  <c r="Q84" i="47"/>
  <c r="P84" i="47"/>
  <c r="T83" i="47"/>
  <c r="S83" i="47"/>
  <c r="R83" i="47"/>
  <c r="Q83" i="47"/>
  <c r="P83" i="47"/>
  <c r="P82" i="47"/>
  <c r="S81" i="47"/>
  <c r="R81" i="47"/>
  <c r="Q81" i="47"/>
  <c r="N80" i="47"/>
  <c r="N79" i="47"/>
  <c r="H79" i="47"/>
  <c r="H78" i="47"/>
  <c r="M76" i="47"/>
  <c r="L76" i="47"/>
  <c r="K76" i="47"/>
  <c r="J76" i="47"/>
  <c r="N75" i="47"/>
  <c r="H75" i="47"/>
  <c r="N74" i="47"/>
  <c r="H74" i="47"/>
  <c r="H73" i="47"/>
  <c r="M71" i="47"/>
  <c r="L71" i="47"/>
  <c r="K71" i="47"/>
  <c r="J71" i="47"/>
  <c r="I71" i="47"/>
  <c r="Q70" i="47"/>
  <c r="Q69" i="47" s="1"/>
  <c r="Q68" i="47" s="1"/>
  <c r="P70" i="47"/>
  <c r="O70" i="47"/>
  <c r="O69" i="47" s="1"/>
  <c r="O68" i="47" s="1"/>
  <c r="N70" i="47"/>
  <c r="H70" i="47"/>
  <c r="P69" i="47"/>
  <c r="H69" i="47"/>
  <c r="P68" i="47"/>
  <c r="N68" i="47"/>
  <c r="H68" i="47"/>
  <c r="M66" i="47"/>
  <c r="L66" i="47"/>
  <c r="K66" i="47"/>
  <c r="J66" i="47"/>
  <c r="I66" i="47"/>
  <c r="R65" i="47"/>
  <c r="Q65" i="47"/>
  <c r="N65" i="47"/>
  <c r="H65" i="47"/>
  <c r="R64" i="47"/>
  <c r="R63" i="47" s="1"/>
  <c r="Q64" i="47"/>
  <c r="Q63" i="47" s="1"/>
  <c r="H64" i="47"/>
  <c r="N63" i="47"/>
  <c r="H63" i="47"/>
  <c r="P62" i="47"/>
  <c r="S61" i="47"/>
  <c r="M61" i="47"/>
  <c r="L61" i="47"/>
  <c r="K61" i="47"/>
  <c r="J61" i="47"/>
  <c r="I61" i="47"/>
  <c r="P60" i="47"/>
  <c r="O60" i="47"/>
  <c r="H60" i="47"/>
  <c r="O59" i="47"/>
  <c r="H59" i="47"/>
  <c r="H58" i="47"/>
  <c r="Q56" i="47"/>
  <c r="M56" i="47"/>
  <c r="L56" i="47"/>
  <c r="K56" i="47"/>
  <c r="J56" i="47"/>
  <c r="I56" i="47"/>
  <c r="I55" i="47"/>
  <c r="N55" i="47" s="1"/>
  <c r="N54" i="47"/>
  <c r="H54" i="47"/>
  <c r="N53" i="47"/>
  <c r="H53" i="47"/>
  <c r="O51" i="47"/>
  <c r="J51" i="47"/>
  <c r="U50" i="47"/>
  <c r="T50" i="47"/>
  <c r="O50" i="47"/>
  <c r="N50" i="47"/>
  <c r="J50" i="47"/>
  <c r="I50" i="47"/>
  <c r="U49" i="47"/>
  <c r="T49" i="47"/>
  <c r="T48" i="47" s="1"/>
  <c r="J49" i="47"/>
  <c r="I49" i="47"/>
  <c r="U48" i="47"/>
  <c r="P48" i="47"/>
  <c r="H48" i="47"/>
  <c r="U46" i="47"/>
  <c r="M46" i="47"/>
  <c r="P46" i="47" s="1"/>
  <c r="L46" i="47"/>
  <c r="K46" i="47"/>
  <c r="R45" i="47"/>
  <c r="Q45" i="47"/>
  <c r="O45" i="47"/>
  <c r="H45" i="47"/>
  <c r="O44" i="47"/>
  <c r="P44" i="47" s="1"/>
  <c r="H44" i="47"/>
  <c r="R43" i="47"/>
  <c r="R44" i="47" s="1"/>
  <c r="Q43" i="47"/>
  <c r="Q44" i="47" s="1"/>
  <c r="P43" i="47"/>
  <c r="Q46" i="47" s="1"/>
  <c r="H43" i="47"/>
  <c r="O42" i="47"/>
  <c r="M41" i="47"/>
  <c r="L41" i="47"/>
  <c r="K41" i="47"/>
  <c r="J41" i="47"/>
  <c r="I41" i="47"/>
  <c r="R40" i="47"/>
  <c r="O40" i="47"/>
  <c r="P40" i="47" s="1"/>
  <c r="H40" i="47"/>
  <c r="R39" i="47"/>
  <c r="O39" i="47"/>
  <c r="P39" i="47" s="1"/>
  <c r="H39" i="47"/>
  <c r="H38" i="47"/>
  <c r="S36" i="47"/>
  <c r="S39" i="47" s="1"/>
  <c r="M36" i="47"/>
  <c r="L36" i="47"/>
  <c r="K36" i="47"/>
  <c r="J36" i="47"/>
  <c r="I36" i="47"/>
  <c r="H36" i="47" s="1"/>
  <c r="H35" i="47"/>
  <c r="H34" i="47"/>
  <c r="H33" i="47"/>
  <c r="R31" i="47"/>
  <c r="Q31" i="47"/>
  <c r="O31" i="47"/>
  <c r="M31" i="47"/>
  <c r="L31" i="47"/>
  <c r="K31" i="47"/>
  <c r="J31" i="47"/>
  <c r="I31" i="47"/>
  <c r="Q30" i="47"/>
  <c r="P30" i="47"/>
  <c r="O30" i="47"/>
  <c r="I30" i="47"/>
  <c r="P29" i="47"/>
  <c r="I29" i="47"/>
  <c r="I24" i="47" s="1"/>
  <c r="N28" i="47"/>
  <c r="H28" i="47"/>
  <c r="N27" i="47"/>
  <c r="P26" i="47"/>
  <c r="M26" i="47"/>
  <c r="L26" i="47"/>
  <c r="K26" i="47"/>
  <c r="J26" i="47"/>
  <c r="U25" i="47"/>
  <c r="T25" i="47"/>
  <c r="S25" i="47"/>
  <c r="R25" i="47"/>
  <c r="P25" i="47"/>
  <c r="O25" i="47"/>
  <c r="T24" i="47"/>
  <c r="U24" i="47" s="1"/>
  <c r="S24" i="47"/>
  <c r="P24" i="47"/>
  <c r="O24" i="47"/>
  <c r="T23" i="47"/>
  <c r="S23" i="47"/>
  <c r="R23" i="47"/>
  <c r="Q23" i="47"/>
  <c r="P23" i="47"/>
  <c r="O23" i="47"/>
  <c r="M23" i="47"/>
  <c r="L23" i="47"/>
  <c r="L21" i="47" s="1"/>
  <c r="K23" i="47"/>
  <c r="J23" i="47"/>
  <c r="S21" i="47"/>
  <c r="P21" i="47"/>
  <c r="O21" i="47"/>
  <c r="O20" i="47" s="1"/>
  <c r="T20" i="47"/>
  <c r="P20" i="47"/>
  <c r="U19" i="47"/>
  <c r="Q19" i="47"/>
  <c r="P19" i="47"/>
  <c r="U18" i="47"/>
  <c r="Q18" i="47"/>
  <c r="P18" i="47"/>
  <c r="U17" i="47"/>
  <c r="Q17" i="47"/>
  <c r="P17" i="47"/>
  <c r="U16" i="47"/>
  <c r="U15" i="47"/>
  <c r="Q15" i="47"/>
  <c r="P15" i="47"/>
  <c r="H29" i="47" l="1"/>
  <c r="H96" i="47"/>
  <c r="I18" i="47"/>
  <c r="H131" i="47"/>
  <c r="P258" i="47"/>
  <c r="P259" i="47" s="1"/>
  <c r="Q259" i="47" s="1"/>
  <c r="H276" i="47"/>
  <c r="P278" i="47"/>
  <c r="P279" i="47" s="1"/>
  <c r="Q279" i="47" s="1"/>
  <c r="H281" i="47"/>
  <c r="P318" i="47"/>
  <c r="P319" i="47" s="1"/>
  <c r="H321" i="47"/>
  <c r="H30" i="47"/>
  <c r="I25" i="47"/>
  <c r="P49" i="47"/>
  <c r="J24" i="47"/>
  <c r="J18" i="47" s="1"/>
  <c r="P50" i="47"/>
  <c r="J25" i="47"/>
  <c r="S19" i="47" s="1"/>
  <c r="H95" i="47"/>
  <c r="I85" i="47"/>
  <c r="H432" i="47"/>
  <c r="H392" i="47"/>
  <c r="H46" i="47"/>
  <c r="H56" i="47"/>
  <c r="H61" i="47"/>
  <c r="H106" i="47"/>
  <c r="T107" i="47"/>
  <c r="H111" i="47"/>
  <c r="H116" i="47"/>
  <c r="H166" i="47"/>
  <c r="H171" i="47"/>
  <c r="H236" i="47"/>
  <c r="J17" i="47"/>
  <c r="S17" i="47"/>
  <c r="K81" i="47"/>
  <c r="M81" i="47"/>
  <c r="M17" i="47"/>
  <c r="J21" i="47"/>
  <c r="R24" i="47"/>
  <c r="H41" i="47"/>
  <c r="I51" i="47"/>
  <c r="N51" i="47" s="1"/>
  <c r="H66" i="47"/>
  <c r="P81" i="47"/>
  <c r="H101" i="47"/>
  <c r="H121" i="47"/>
  <c r="H141" i="47"/>
  <c r="H156" i="47"/>
  <c r="J181" i="47"/>
  <c r="H196" i="47"/>
  <c r="H251" i="47"/>
  <c r="Q258" i="47"/>
  <c r="H266" i="47"/>
  <c r="H341" i="47"/>
  <c r="M326" i="47"/>
  <c r="H326" i="47" s="1"/>
  <c r="H351" i="47"/>
  <c r="H422" i="47"/>
  <c r="J81" i="47"/>
  <c r="L81" i="47"/>
  <c r="I17" i="47"/>
  <c r="S18" i="47"/>
  <c r="K19" i="47"/>
  <c r="K226" i="47"/>
  <c r="H376" i="47"/>
  <c r="M21" i="47"/>
  <c r="S20" i="47" s="1"/>
  <c r="T18" i="47"/>
  <c r="M18" i="47"/>
  <c r="H26" i="47"/>
  <c r="R21" i="47"/>
  <c r="H210" i="47"/>
  <c r="I206" i="47"/>
  <c r="H206" i="47" s="1"/>
  <c r="N235" i="47"/>
  <c r="N234" i="47"/>
  <c r="P254" i="47"/>
  <c r="Q253" i="47"/>
  <c r="P253" i="47" s="1"/>
  <c r="T19" i="47"/>
  <c r="M19" i="47"/>
  <c r="H49" i="47"/>
  <c r="Q24" i="47"/>
  <c r="H50" i="47"/>
  <c r="Q25" i="47"/>
  <c r="N48" i="47"/>
  <c r="O47" i="47"/>
  <c r="O48" i="47" s="1"/>
  <c r="J19" i="47"/>
  <c r="H109" i="47"/>
  <c r="I81" i="47"/>
  <c r="H126" i="47"/>
  <c r="T81" i="47"/>
  <c r="H183" i="47"/>
  <c r="R17" i="47"/>
  <c r="K181" i="47"/>
  <c r="K17" i="47"/>
  <c r="M181" i="47"/>
  <c r="T17" i="47"/>
  <c r="H205" i="47"/>
  <c r="I201" i="47"/>
  <c r="H201" i="47" s="1"/>
  <c r="O185" i="47"/>
  <c r="P245" i="47"/>
  <c r="Q244" i="47"/>
  <c r="Q265" i="47"/>
  <c r="P263" i="47"/>
  <c r="Q263" i="47" s="1"/>
  <c r="H23" i="47"/>
  <c r="K21" i="47"/>
  <c r="H31" i="47"/>
  <c r="H71" i="47"/>
  <c r="H86" i="47"/>
  <c r="H151" i="47"/>
  <c r="H161" i="47"/>
  <c r="H191" i="47"/>
  <c r="H211" i="47"/>
  <c r="H231" i="47"/>
  <c r="H246" i="47"/>
  <c r="P255" i="47"/>
  <c r="H296" i="47"/>
  <c r="H306" i="47"/>
  <c r="H316" i="47"/>
  <c r="H331" i="47"/>
  <c r="H371" i="47"/>
  <c r="H402" i="47"/>
  <c r="H83" i="47"/>
  <c r="H85" i="47"/>
  <c r="H271" i="47"/>
  <c r="H261" i="47"/>
  <c r="J226" i="47"/>
  <c r="H256" i="47"/>
  <c r="I226" i="47"/>
  <c r="M226" i="47"/>
  <c r="H184" i="47"/>
  <c r="I76" i="47"/>
  <c r="H76" i="47" s="1"/>
  <c r="H80" i="47"/>
  <c r="I21" i="47"/>
  <c r="S40" i="47"/>
  <c r="H51" i="47"/>
  <c r="H55" i="47"/>
  <c r="S64" i="47"/>
  <c r="P64" i="47" s="1"/>
  <c r="S65" i="47"/>
  <c r="P65" i="47" s="1"/>
  <c r="H185" i="47"/>
  <c r="Q273" i="47"/>
  <c r="Q278" i="47"/>
  <c r="R20" i="47" l="1"/>
  <c r="P264" i="47"/>
  <c r="Q264" i="47" s="1"/>
  <c r="N186" i="47"/>
  <c r="H24" i="47"/>
  <c r="S15" i="47"/>
  <c r="K15" i="47"/>
  <c r="H81" i="47"/>
  <c r="M15" i="47"/>
  <c r="Q21" i="47"/>
  <c r="P251" i="47"/>
  <c r="J15" i="47"/>
  <c r="R18" i="47"/>
  <c r="H84" i="47"/>
  <c r="I181" i="47"/>
  <c r="H181" i="47" s="1"/>
  <c r="O49" i="47"/>
  <c r="T15" i="47"/>
  <c r="P244" i="47"/>
  <c r="Q243" i="47"/>
  <c r="P243" i="47" s="1"/>
  <c r="H21" i="47"/>
  <c r="Q20" i="47"/>
  <c r="S63" i="47"/>
  <c r="P63" i="47" s="1"/>
  <c r="H25" i="47"/>
  <c r="R19" i="47"/>
  <c r="I19" i="47"/>
  <c r="R15" i="47" l="1"/>
  <c r="P241" i="47"/>
  <c r="I15" i="47"/>
  <c r="H241" i="47" l="1"/>
  <c r="L19" i="47" l="1"/>
  <c r="H19" i="47" s="1"/>
  <c r="H230" i="47"/>
  <c r="H245" i="47"/>
  <c r="H244" i="47" l="1"/>
  <c r="O19" i="47"/>
  <c r="H229" i="47" l="1"/>
  <c r="N4" i="47" s="1"/>
  <c r="L18" i="47"/>
  <c r="H18" i="47" s="1"/>
  <c r="H243" i="47"/>
  <c r="O18" i="47" l="1"/>
  <c r="H228" i="47"/>
  <c r="L226" i="47"/>
  <c r="H226" i="47" s="1"/>
  <c r="L17" i="47"/>
  <c r="H17" i="47" s="1"/>
  <c r="L15" i="47" l="1"/>
  <c r="H15" i="47" s="1"/>
  <c r="O17" i="47"/>
  <c r="O15" i="47" l="1"/>
</calcChain>
</file>

<file path=xl/comments1.xml><?xml version="1.0" encoding="utf-8"?>
<comments xmlns="http://schemas.openxmlformats.org/spreadsheetml/2006/main">
  <authors>
    <author>Зубцова Н В</author>
  </authors>
  <commentList>
    <comment ref="J250" authorId="0">
      <text>
        <r>
          <rPr>
            <b/>
            <sz val="9"/>
            <color indexed="81"/>
            <rFont val="Tahoma"/>
            <family val="2"/>
            <charset val="204"/>
          </rPr>
          <t>Зубцова Н В: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
</t>
        </r>
      </text>
    </comment>
    <comment ref="M250" authorId="0">
      <text>
        <r>
          <rPr>
            <b/>
            <sz val="9"/>
            <color indexed="81"/>
            <rFont val="Tahoma"/>
            <family val="2"/>
            <charset val="204"/>
          </rPr>
          <t>Зубцова Н В: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
</t>
        </r>
      </text>
    </comment>
    <comment ref="I255" authorId="0">
      <text>
        <r>
          <rPr>
            <b/>
            <sz val="9"/>
            <color indexed="81"/>
            <rFont val="Tahoma"/>
            <family val="2"/>
            <charset val="204"/>
          </rPr>
          <t>Зубцова Н В: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</t>
        </r>
      </text>
    </comment>
    <comment ref="J255" authorId="0">
      <text>
        <r>
          <rPr>
            <b/>
            <sz val="9"/>
            <color indexed="81"/>
            <rFont val="Tahoma"/>
            <family val="2"/>
            <charset val="204"/>
          </rPr>
          <t>Зубцова Н В: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
</t>
        </r>
      </text>
    </comment>
  </commentList>
</comments>
</file>

<file path=xl/sharedStrings.xml><?xml version="1.0" encoding="utf-8"?>
<sst xmlns="http://schemas.openxmlformats.org/spreadsheetml/2006/main" count="620" uniqueCount="185">
  <si>
    <t>в том числе:</t>
  </si>
  <si>
    <t>федеральный бюджет</t>
  </si>
  <si>
    <t>бюджет Орловской области</t>
  </si>
  <si>
    <t>бюджет города Орла</t>
  </si>
  <si>
    <t>В том числе:</t>
  </si>
  <si>
    <t>всего</t>
  </si>
  <si>
    <t>всего на объект</t>
  </si>
  <si>
    <t>в экспертизе</t>
  </si>
  <si>
    <t>ДОРФОНД ОО</t>
  </si>
  <si>
    <t>1.1.  Проектирование строительства объекта  «Улично-дорожная сеть местного значения и сети инженерно-технического обеспечения для объектов индивидуальной жилой застройки в Северном районе г. Орла»</t>
  </si>
  <si>
    <t>всего по маип 2020</t>
  </si>
  <si>
    <t>фед. Согл</t>
  </si>
  <si>
    <t>областное согл</t>
  </si>
  <si>
    <t>было</t>
  </si>
  <si>
    <t>с применением индексов -дефляторов</t>
  </si>
  <si>
    <t>Н.С. Митряев</t>
  </si>
  <si>
    <t>По решению суда, вернули 5000,00</t>
  </si>
  <si>
    <t>поменяла местами, в соответствии с приложением 14</t>
  </si>
  <si>
    <t xml:space="preserve">Номер и наименование основного  мероприятия муниципальной программы </t>
  </si>
  <si>
    <t>Номер и наименование</t>
  </si>
  <si>
    <t>№ п/п</t>
  </si>
  <si>
    <t xml:space="preserve">Объемы финансирования, всего, тыс. руб. </t>
  </si>
  <si>
    <t>Ожидаемый непосредственный результат</t>
  </si>
  <si>
    <t>Срок</t>
  </si>
  <si>
    <t>Начало реализации</t>
  </si>
  <si>
    <t>Окончание реализации</t>
  </si>
  <si>
    <t xml:space="preserve">Ответственный исполнитель (соисполнитель) </t>
  </si>
  <si>
    <t>1. Основное мероприятие 1 Программы -                              Развитие дорожно-транспортной инфраструктуры</t>
  </si>
  <si>
    <t>1 усл. ед.</t>
  </si>
  <si>
    <t>1.3. Строительство объекта «Улично-дорожная сеть 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Раздольная)»</t>
  </si>
  <si>
    <t>1.4. Строительство объекта «Улица Кузнецова на участке от Московского шоссе до ул. Раздольная в г. Орле»</t>
  </si>
  <si>
    <t>1.5. Строительство объекта «Улица Витольда Почернина на участке от ул. Зеленина в микрорайоне "Зареченский" г.Орла до ул.Царев Брод в  п.Орлик Образцовского с/п Орловского района»</t>
  </si>
  <si>
    <t>13 км</t>
  </si>
  <si>
    <t>(усл.ед.;м³/сут;км)</t>
  </si>
  <si>
    <t>5,16 км</t>
  </si>
  <si>
    <t>4,1555 км</t>
  </si>
  <si>
    <t>2,5507 км</t>
  </si>
  <si>
    <t>(усл.ед.; мест)</t>
  </si>
  <si>
    <t>80 мест</t>
  </si>
  <si>
    <t>(усл.ед.;м²)</t>
  </si>
  <si>
    <t>500 учащихся</t>
  </si>
  <si>
    <t>480 учащихся</t>
  </si>
  <si>
    <t>4.6. Капитальный ремонт объекта: «МБОУ – средняя общеобразовательная школа № 15 имени М.В. Гордеева г. Орла»</t>
  </si>
  <si>
    <t>4.7. Капитальный ремонт объекта: «МБОУ – лицей № 32 имени И.М. Воробьева г. Орла»</t>
  </si>
  <si>
    <t xml:space="preserve">4.8. Капитальный ремонт объекта: «МБОУ – гимназия № 39 имени Фридриха Шиллера г. Орла» (в части здания басейна и перехода) </t>
  </si>
  <si>
    <t>4.9. Капитальный ремонт объекта: «МБОУ – гимназия № 39 имени Фридриха Шиллера г. Орла»</t>
  </si>
  <si>
    <t>4.10. Капитальный ремонт объекта:«МБОУ – гимназия №16 г. Орла»</t>
  </si>
  <si>
    <t>4.13. Выполнение проектных работ по капитальному ремонту объекта: «МБОУ – средняя общеобразовательная школа №6 г. Орла»</t>
  </si>
  <si>
    <t>4.15. Выполнение проектных работ по капитальному ремонту объекта:«МБОУ – средняя общеобразовательная школа № 20 имени Героя Советского Союза Л.Н. Гуртьева г. Орла»</t>
  </si>
  <si>
    <t>4.16. Капитальный ремонт объекта:«МБОУ – средняя общеобразовательная школа № 20 имени Героя Советского Союза Л.Н. Гуртьева г. Орла»</t>
  </si>
  <si>
    <t>4.17. Выполнение проектных работ по капитальному ремонту объекта:«МБОУ – средняя общеобразовательная школа №26 г. Орла»</t>
  </si>
  <si>
    <t>18000 м3/сут.</t>
  </si>
  <si>
    <t>1,62 км</t>
  </si>
  <si>
    <t>133 тыс. м3/сут</t>
  </si>
  <si>
    <t>7036,3 м2</t>
  </si>
  <si>
    <t>6897,1 м2</t>
  </si>
  <si>
    <t>10499,1 м2</t>
  </si>
  <si>
    <t>3707,00 м2</t>
  </si>
  <si>
    <t>6192,7 м2</t>
  </si>
  <si>
    <t>3547,4 м2</t>
  </si>
  <si>
    <t>6180,0 м2</t>
  </si>
  <si>
    <t>4237,0 м2</t>
  </si>
  <si>
    <t>3651,0 м2</t>
  </si>
  <si>
    <t>4400,0 м2</t>
  </si>
  <si>
    <t>5.3. Разработка проектно-сметной документации на капитальный ремонт "МБУ ДО  «Детская музыкальная школа № 3 им С.С. Прокофьева»</t>
  </si>
  <si>
    <t>5.4. Разработка проектно-сметной документации на капитальный ремонт  «МБУ ДО «Орловская детская школа искусств им. Д.Б. Кабалевского»</t>
  </si>
  <si>
    <t>2371,8 м2</t>
  </si>
  <si>
    <t>11 км</t>
  </si>
  <si>
    <t>3,33127 км</t>
  </si>
  <si>
    <t>1,672 км</t>
  </si>
  <si>
    <t>0,855 км</t>
  </si>
  <si>
    <t>1,831 км</t>
  </si>
  <si>
    <t>1,25 км</t>
  </si>
  <si>
    <t>0,07126 км</t>
  </si>
  <si>
    <t>5500 м³/сут</t>
  </si>
  <si>
    <t>5.1.  Разработка научно-проектной документации на проведение работ по ремонту и приспособлению объекта культурного наследия регионального значения «Дом бывшего реального училища, где с 1895 по 1896 годы учился Дубровинский Иосиф Федорович, соратник В.И. Ленина», расположенного по адресу: Орловская область, г. Орел, ул. Комсомольская, д. 39 (в рамках капитального ремонта здания «МБУ ДО «Дом детского творчества № 3 города Орла»)»</t>
  </si>
  <si>
    <t>( усл. ед.; км)</t>
  </si>
  <si>
    <t>усл.ед.</t>
  </si>
  <si>
    <t>1.8. Реконструкция объекта «Улица Авиационная на участке от Карачевского ш. до ул.Спивака в г. Орле»</t>
  </si>
  <si>
    <t>2.1.  «Строительство очистных сооружений с целью эксплуатации коллектора дождевой канализации в микрорайоне «Веселая слобода». Вариант 2»</t>
  </si>
  <si>
    <t>324 м3/сут</t>
  </si>
  <si>
    <t xml:space="preserve">2.2. Строительство объекта «Станция умягчения Окского ВЗУ» </t>
  </si>
  <si>
    <t>2.3. Проектирование строительства объекта  «Улично-дорожная сеть местного значения и сети инженерно-технического обеспечения для объектов индивидуальной жилой застройки в Северном районе г. Орла»</t>
  </si>
  <si>
    <t xml:space="preserve">2.5. Строительство водопроводных сетей земельных участков, предоставдленных многодетным семьям, имеющих трех и более детей (район д. Овсянникова) </t>
  </si>
  <si>
    <t>2.7. «Строительство 2-й нитки самотечного канализационного коллектора по Правому берегу р. Ока от камеры гашения в районе ул. Молодежной до приемной камеры КНС №8. 1-й этап строительства – от точки врезки коллектора микрорайона «Болховский» до приемной камеры КНС №8»</t>
  </si>
  <si>
    <t>2.8. Строительство 2-й нитки самотечного канализационного коллектора по Правому берегу р. Ока от камер гашения  в районе ул. Молодежной до приемной камеры КНС №8. 2-й этап строительства - от камеры гашения по ул. Молодежная до врезки МР Болховский</t>
  </si>
  <si>
    <t>2.9. Внесение изменений в проектную документацию, строительство объекта «Блочная котельная по ул. Высоковольтная в городе Орле»</t>
  </si>
  <si>
    <t>2.10. Разработка пректной документации и инженерных изысканий на строительство объекта: «Очистные сооружения ливневой канализации, расположенной по ул. Болховская»</t>
  </si>
  <si>
    <t>2.11. Разработка пректной документации и инженерных изысканий на строительство объекта: «Очистные сооружения ливневой канализации, расположенной по ул. Энергетиков»</t>
  </si>
  <si>
    <t>2.12. Разработка пректной документации и инженерных изысканий на строительство объекта: «Очистные сооружения ливневой канализации, расположенной по ул. 5-ой Орловской дивизии»</t>
  </si>
  <si>
    <t>2.14. Реконструкция Левобережного канализационного коллектора Ду-1000 мм., участок за Ж/Д мостом через ул. Городскую до проходного канала на пер. Воскресенском</t>
  </si>
  <si>
    <t>3.1. Проектирование строительства объекта «Детский сад (ясли) по ул. Грановского в г. Орле»</t>
  </si>
  <si>
    <t>3.2. Строительство объекта «Детский сад (ясли) по  ул. Грановскогов г. Орле»</t>
  </si>
  <si>
    <t>3.3. Выполнение проектных работ по капитальному ремонту объекта «Муниципальное бюджетное дошкольное образовательное учреждение - детский сад № 45 общеразвивающего вида г. Орла»</t>
  </si>
  <si>
    <t>3.4. Выполнение проектных работ по капитальному ремонту объекта «Муниципальное бюджетное дошкольное образовательное учреждение – центр развития ребенка – детский сад №56 г. Орла»</t>
  </si>
  <si>
    <t>3.5. Выполнение проектных работ по капитальному ремонту объекта «Муниципальное бюджетное дошкольное образовательное учреждение «Детский сад № 5 комбинированного вида» г. Орла» (корпус 1)</t>
  </si>
  <si>
    <t>1225 учащихся</t>
  </si>
  <si>
    <t>5.4. Выполнение работ по капитальному ремонту «МБУ ДО  «Детская музыкальная школа № 3 им С.С. Прокофьева»</t>
  </si>
  <si>
    <t>5.5. Выполнение работ по капитальному ремонту  «МБУ ДО «Орловская детская школа искусств им. Д.Б. Кабалевского»</t>
  </si>
  <si>
    <t>5.6.  Разработка проектно-сметной документации на выполнение работ по капитальному ремонту здания школы  МБУ ДО «ДШИ №2 им М.И. Глинки»</t>
  </si>
  <si>
    <t>4.3. Строительство здания начальной школы в составе МБОУ лицей № 40 в г. Орле</t>
  </si>
  <si>
    <t>4.18. Капитальный ремонт объекта:«МБОУ – средняя общеобразовательная школа № 26 г. Орла»</t>
  </si>
  <si>
    <t>4.19. Выполнение проектных работ по капитальному ремонту объекта: «МБОУ – средняя общеобразовательная школа № 12 имени Героя Советского Союза И.Н. Машкарина г. Орла»</t>
  </si>
  <si>
    <t>4.20. Капитальный ремонт объекта: «МБОУ – средняя общеобразовательная школа № 12 имени Героя Советского Союза И.Н. Машкарина г. Орла»</t>
  </si>
  <si>
    <t>4.21. Выполнение проектных работ по капитальному ремонту объекта «Муниципальное бюджетное общеобразовательное учреждение – средняя общеобразовательная школа №3 им. А.С. Пушкина г. Орла»</t>
  </si>
  <si>
    <t>Не выполнен в 2023 г., ориентировочно 1 квартал 2024 г.</t>
  </si>
  <si>
    <t>8,01 км</t>
  </si>
  <si>
    <t>городскими доведено 721,0 (нехватает 428,26211)</t>
  </si>
  <si>
    <t>задолжность прошлого года, работы не выполнены</t>
  </si>
  <si>
    <t>Работы с 2023 года не выполнены (на 2024 год не предусмотрены)</t>
  </si>
  <si>
    <t>предусмотрено в бюджете</t>
  </si>
  <si>
    <t>В бюджете не предусмотрено, работы с2023г.</t>
  </si>
  <si>
    <t>заключен контракт на 32716580,13</t>
  </si>
  <si>
    <t>предусмотрно в бюджете</t>
  </si>
  <si>
    <t>лимиты предусмотрены</t>
  </si>
  <si>
    <t>5.7. Выполнение работ по капитальному ремонту здания школы  МБУ ДО «ДШИ №2 им М.И. Глинки»</t>
  </si>
  <si>
    <t>от «__»___________2024 г. № _______</t>
  </si>
  <si>
    <t xml:space="preserve">  МКУ «ОМЗ г. Орла» (Заказчик)</t>
  </si>
  <si>
    <t xml:space="preserve"> МКУ «ОМЗ г. Орла» (Заказчик)</t>
  </si>
  <si>
    <t xml:space="preserve"> МБУ "Спецавтобаза по санитарной очистке г. Орла (Заказчик)</t>
  </si>
  <si>
    <t>МКУ «ОМЗ г. Орла» (Заказчик)</t>
  </si>
  <si>
    <t xml:space="preserve"> МКУ «ОМЗ г. Орла» (Заказчик)                                                           </t>
  </si>
  <si>
    <t xml:space="preserve"> МКУ «ОМЗ г. Орла» (Заказчик)                                                            </t>
  </si>
  <si>
    <t xml:space="preserve"> МКУ «ОМЗ г. Орла» (Заказчик)   </t>
  </si>
  <si>
    <t xml:space="preserve">  МКУ «ОМЗ г. Орла» (Заказчик)    </t>
  </si>
  <si>
    <t xml:space="preserve">  МКУ «ОМЗ г. Орла» (Заказчик)   </t>
  </si>
  <si>
    <t xml:space="preserve"> МКУ «ОМЗ г. Орла» (Заказчик)                                                    </t>
  </si>
  <si>
    <t xml:space="preserve">МКУ «ОМЗ г. Орла» (Заказчик)  </t>
  </si>
  <si>
    <t xml:space="preserve">МКУ «ОМЗ г. Орла» (Заказчик)                                                   </t>
  </si>
  <si>
    <t xml:space="preserve">                                                   МКУ «ОМЗ г. Орла» (Заказчик)</t>
  </si>
  <si>
    <t xml:space="preserve">2.6. Строительство объекта «Улично-дорожная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 ул. Михалицына, пер. Керамический, полосой отчуждения железной дороги и ул. Раздольная)» </t>
  </si>
  <si>
    <t>4.11. Капитальный ремонт объекта: «МБОУ-лицей № 21 имени генерала А.П.Ермолова г.Орла»</t>
  </si>
  <si>
    <t>2070,0 городские на 2024г</t>
  </si>
  <si>
    <t>10600 доведено</t>
  </si>
  <si>
    <t>5.2. Выполнение работ по ремонту и приспособлению объекта культурного наследия регионального значения «Дом бывшего реального училища, где с 1895 по 1896 годы учился Дубровинский Иосиф Федорович, соратник В.И. Ленина», расположенного по адресу: Орловская область, г. Орел, ул. Комсомольская, д. 39 (в рамках капитального ремонта здания «МБУ ДО «Дом детского творчества № 3 города Орла»)»</t>
  </si>
  <si>
    <t>Перечень основных мероприятий муниципальной программы города Орла «Адресная инвестиционная программа на 2024 - 2028 годы»</t>
  </si>
  <si>
    <t>Муниципальная программы города Орла «Адресная инвестиционная программа на 2024 - 2026 годов»</t>
  </si>
  <si>
    <t xml:space="preserve"> 
муниципальной программы города Орла
«Адресная инвестиционная программа 
на 2024 - 2028 годы»
</t>
  </si>
  <si>
    <t>Приложение к Паспорту</t>
  </si>
  <si>
    <t>4.14. Капитальный ремонт объекта:«МБОУ – средняя общеобразовательная школа № 6 г. Орла»</t>
  </si>
  <si>
    <t>долг по городскому 3329,19024</t>
  </si>
  <si>
    <t xml:space="preserve">МКУ «ОМЗ г. Орла» (Заказчик)              </t>
  </si>
  <si>
    <t>исключен на основании письма образования от 08.02.2024 №81-21с/з</t>
  </si>
  <si>
    <t>2.17. Строительство водовода от ул. Машиностроительной до Карачевского шоссе</t>
  </si>
  <si>
    <t>1.6. Строительство объекта «Улица Орловских партизан на участке от Московского шоссе до ул. Космонавтов в г. Орле»</t>
  </si>
  <si>
    <t>1.7. Выполнение проектно-изыскательских работ по реконструкции объекта  «Улица Авиационная на участке от Карачевского ш. до ул.Спивака в г. Орле»</t>
  </si>
  <si>
    <t>2.13.  Строительство объекта «Станция умягчения на Комсомольском ВЗУ»</t>
  </si>
  <si>
    <t>2.15. Реконсрукция объекта:  «Очистные сооружения канализации (ОСК) г. Орла, Орловский район, Платоновское сельское поселение, д. Вязки,  «Станция аэрации»</t>
  </si>
  <si>
    <t>2.16. Разработка проектно-сментной документации на реконструкцию объекта: «Надземный газопровод низкого давления диаметром 60мм, расположенного на ул. Партизанской в районе д. 20 в г. Орле»</t>
  </si>
  <si>
    <t>4.1. Строительство объекта  «Школа на 1225 учащихся по ул. Зеленина в г. Орле»</t>
  </si>
  <si>
    <t>4.2. Проектирование объекта «Строительство здания начальной школы в составе МБОУ лицей № 40 в г.Орле»</t>
  </si>
  <si>
    <t>4.4. Проектирование строительства объекта «Школа в 795 квартале г. Орла»</t>
  </si>
  <si>
    <t>4.5. Строительство объекта «Школа в 795 квартале г.Орла»</t>
  </si>
  <si>
    <t>4.12. Капитальный ремонт: «МБОУ- средняя общеобразовательная школа №29 имени Д.Н.Мельникова г.Орла»</t>
  </si>
  <si>
    <t>2.19. Разработка проектно-сметной документации для строительства сетей водоотведения с проверкой достоверности определения сметной стоимости по улицам Радужная, Турбина, Кривцова, Преображенского, Приокская, Пойменная и переулкам Пойменный, Приокский, Отрадный, Преображенского г. Орла</t>
  </si>
  <si>
    <t>1.10. Выполнение проектно-изыскательских работ по объекту «Капитальный ремонт улично-дорожной сети города Орла: ул.Карачевская, ул.Гостиная, ул.Пушкина»</t>
  </si>
  <si>
    <t>1.11. Проектирование строительства объекта  «Строительство улично-дорожной сети в районе городского парка для обеспечения транспортной, пешеходной доступности и связи Железнодорожного и Советского районов г. Орла» (1 этап строительства) Вариант 2.</t>
  </si>
  <si>
    <t>2.4. Строительство объекта: «Улично-дорожная сеть местного значения и сети инженерно-технического обеспечения для объектов индивидуальной жилой застройки в Северном районе г. Орла (1 этап – строительство сетей газоснабжения)»</t>
  </si>
  <si>
    <t>1.2. Строительство объекта: «Улично-дорожная сеть местного значения и сети инженерно-технического обеспечения для объектов индивидуальной жилой застройки в Северном районе г. Орла (2 этап – строительство улично-дорожной сети)»</t>
  </si>
  <si>
    <t xml:space="preserve">4. Основное мероприятие 4 Программы – Развитие образовательной инфраструктуры
</t>
  </si>
  <si>
    <t>2. Основное мероприятие 2 Программы –  Развитие коммунальной инфраструктуры</t>
  </si>
  <si>
    <r>
      <t>(усл.ед.;км;м³/сут;м</t>
    </r>
    <r>
      <rPr>
        <sz val="20"/>
        <color theme="1"/>
        <rFont val="Calibri"/>
        <family val="2"/>
        <charset val="204"/>
      </rPr>
      <t>²)</t>
    </r>
  </si>
  <si>
    <t xml:space="preserve">Начальник управления строительства,  дорожного хозяйства и благоустройства администрации города Орла           
</t>
  </si>
  <si>
    <t xml:space="preserve">1.9. Выполнение работы по реконструкции объекта «Мост через реку Орлик в створе ул. Колхозная в г. Орле»  (в рамках реализации регионального проекта «Программа комплексного развития объединенной дорожной сети Орловской области, а также Орловской городской агломерации на 2019-2024 годы» национального проекта «Безопасные качественные дороги»)
</t>
  </si>
  <si>
    <t>3. Основное мероприятие 3 Программы –  Развитие инфраструктуры дошкольного образования</t>
  </si>
  <si>
    <t>3 усл.ед.</t>
  </si>
  <si>
    <t>2.18. Выполнение работ по разработке проектно-сметной документациипо и строительству водопроводных сетей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2 этап – водопроводные сети от ул. Скворцова по Наугорскому шоссе, ул. Сурнева, ул. Генерала Горбатова, ул. Донецкой, пер. Луганскому</t>
  </si>
  <si>
    <t>5. Основное мероприятие 5 Программы – Развитие инфраструктуры дополнительного образования</t>
  </si>
  <si>
    <t>14 усл.ед.</t>
  </si>
  <si>
    <t>4.22. Капитальный ремонт объекта: «Муниципальное бюджетное общеобразовательное учреждение – средняя общеобразовательная школа №3 им. А.С. Пушкина г. Орла»</t>
  </si>
  <si>
    <t>4.23. Выполнение проектных работ по капитальному ремонту объекта «Муниципальное бюджетное общеобразовательное учреждение – средняя общеобразовательная школа № 13 имени Героя Советского Союза  А.П. Маресьева г. Орла»</t>
  </si>
  <si>
    <t>4.24. Капитальный ремонт объекта: «Муниципальное бюджетное общеобразовательное учреждение – средняя общеобразовательная школа № 13 имени Героя Советского Союза  А.П. Маресьева г. Орла»</t>
  </si>
  <si>
    <t>4.25. Выполнение проектных работ по капитальному ремонту объекта «Муниципальное бюджетное общеобразовательное учреждение – лицей № 28 имени дважды Героя Советского Союза  Г.М. Паршина г. Орла»</t>
  </si>
  <si>
    <t>4.26. Капитальный ремонт объекта: «Муниципальное бюджетное общеобразовательное учреждение – лицей № 28 имени дважды Героя Советского Союза  Г.М. Паршина г. Орла»</t>
  </si>
  <si>
    <t>4.27. Выполнение проектных работ по капитальному ремонту объекта  «Муниципальное бюджетное общеобразовательное учреждение – средняя общеобразовательная школа № 30 г. Орла»</t>
  </si>
  <si>
    <t>4.29. Выполнение проектных работ по капитальному ремонту объекта «Муниципальное бюджетное общеобразовательное учреждение – лицей № 4 имени Героя Советского Союза Г.Б. Злотина г. Орла»</t>
  </si>
  <si>
    <t>4.28. Капитальный ремонт объекта: «Муниципальное бюджетное общеобразовательное учреждение – средняя общеобразовательная школа № 30 г. Орла»</t>
  </si>
  <si>
    <t>3.6. Выполнение проектных работ по капитальному ремонту объекта «Муниципальное бюджетное дошкольное образовательное учреждение Центр развития ребёнка-детский сад №60 «Берёзка» г. Орла»</t>
  </si>
  <si>
    <t>3.7. Выполнение проектных работ по капитальному ремонту объекта «Муниципальное бюджетное дошкольное образовательное учреждение – детский сад № 71 комбинированного вида г. Орла»</t>
  </si>
  <si>
    <t>3.8. Выполнение проектных работ по капитальному ремонту объекта «Муниципальное бюджетное дошкольное образовательное учреждение детский сад № 77 комбинированного вида»</t>
  </si>
  <si>
    <t>4.30. Выполнение проектных работ по капитальному ремонту объекта «Муниципальное бюджетное общеобразовательное учреждение – средняя общеобразовательная школа № 17 с углубленным изучением французского языка имени 6-ой Орловско-Хинганской стрелковой дивизии г. Орла»</t>
  </si>
  <si>
    <t>4.31. Разработка проектно-сметной документации на выполнение работ по комплексному благоустройству территорий образовательных организаций, находящихся в капитальном ремонте («МБОУ – средняя общеобразовательная школа № 15 имени М.В. Гордеева г. Орла», «МБОУ – лицей № 32 имени И.М. Воробьева г. Орла», «МБОУ – гимназия № 39 имени Фридриха Шиллера г. Орла»)</t>
  </si>
  <si>
    <t>Управление образования, спорта и физической культуры администрации города Орла</t>
  </si>
  <si>
    <t xml:space="preserve">4.32. Оценка технического состояния зданий дошкольных образовательных организаций и общеобразовательных организаций на территории города Орла, признанных нуждающимися в проведении капитального ремонта </t>
  </si>
  <si>
    <t>Прохождение государственной экспертизы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</si>
</sst>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0\ _₽_-;\-* #,##0.00\ _₽_-;_-* &quot;-&quot;??\ _₽_-;_-@_-"/>
    <numFmt numFmtId="166" formatCode="_-* #,##0.00_р_._-;\-* #,##0.00_р_._-;_-* &quot;-&quot;_р_._-;_-@_-"/>
    <numFmt numFmtId="167" formatCode="_-* #,##0.00000\ _₽_-;\-* #,##0.00000\ _₽_-;_-* &quot;-&quot;?????\ _₽_-;_-@_-"/>
    <numFmt numFmtId="168" formatCode="_-* #,##0.000_р_._-;\-* #,##0.000_р_._-;_-* &quot;-&quot;??_р_._-;_-@_-"/>
    <numFmt numFmtId="169" formatCode="_-* #,##0.00000_р_._-;\-* #,##0.00000_р_._-;_-* &quot;-&quot;??_р_._-;_-@_-"/>
    <numFmt numFmtId="170" formatCode="_-* #,##0.000000_р_._-;\-* #,##0.000000_р_._-;_-* &quot;-&quot;??_р_._-;_-@_-"/>
    <numFmt numFmtId="171" formatCode="#,##0.00000"/>
    <numFmt numFmtId="172" formatCode="_-* #,##0.00000_р_._-;\-* #,##0.00000_р_._-;_-* &quot;-&quot;?????_р_._-;_-@_-"/>
    <numFmt numFmtId="173" formatCode="_-* #,##0.00000_р_._-;\-* #,##0.00000_р_._-;_-* &quot;-&quot;????_р_._-;_-@_-"/>
    <numFmt numFmtId="174" formatCode="#,##0.00000_ ;\-#,##0.000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Calibri"/>
      <family val="2"/>
      <charset val="204"/>
      <scheme val="minor"/>
    </font>
    <font>
      <b/>
      <i/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rgb="FFFF0000"/>
      <name val="Times New Roman"/>
      <family val="1"/>
      <charset val="204"/>
    </font>
    <font>
      <b/>
      <sz val="24"/>
      <color rgb="FFFF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21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0"/>
      <color theme="1"/>
      <name val="Calibri"/>
      <family val="2"/>
      <charset val="204"/>
    </font>
    <font>
      <b/>
      <i/>
      <sz val="3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0">
    <xf numFmtId="0" fontId="0" fillId="0" borderId="0" xfId="0"/>
    <xf numFmtId="43" fontId="6" fillId="2" borderId="8" xfId="1" applyFont="1" applyFill="1" applyBorder="1" applyAlignment="1">
      <alignment horizontal="right" vertical="center" wrapText="1"/>
    </xf>
    <xf numFmtId="43" fontId="6" fillId="2" borderId="4" xfId="1" applyFont="1" applyFill="1" applyBorder="1" applyAlignment="1">
      <alignment horizontal="right" vertical="center" wrapText="1"/>
    </xf>
    <xf numFmtId="43" fontId="7" fillId="2" borderId="4" xfId="1" applyFont="1" applyFill="1" applyBorder="1" applyAlignment="1">
      <alignment horizontal="right" vertical="center" wrapText="1"/>
    </xf>
    <xf numFmtId="43" fontId="7" fillId="2" borderId="14" xfId="1" applyFont="1" applyFill="1" applyBorder="1" applyAlignment="1">
      <alignment horizontal="right" vertical="center" wrapText="1"/>
    </xf>
    <xf numFmtId="43" fontId="7" fillId="2" borderId="13" xfId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164" fontId="8" fillId="2" borderId="0" xfId="0" applyNumberFormat="1" applyFont="1" applyFill="1" applyAlignment="1">
      <alignment vertical="center"/>
    </xf>
    <xf numFmtId="43" fontId="7" fillId="2" borderId="5" xfId="1" applyFont="1" applyFill="1" applyBorder="1" applyAlignment="1">
      <alignment horizontal="right" vertical="center" wrapText="1"/>
    </xf>
    <xf numFmtId="43" fontId="6" fillId="2" borderId="0" xfId="1" applyFont="1" applyFill="1" applyBorder="1" applyAlignment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right" vertical="center" wrapText="1"/>
    </xf>
    <xf numFmtId="43" fontId="6" fillId="2" borderId="0" xfId="0" applyNumberFormat="1" applyFont="1" applyFill="1" applyAlignment="1">
      <alignment horizontal="right" vertical="center" wrapText="1"/>
    </xf>
    <xf numFmtId="43" fontId="7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0" fontId="7" fillId="2" borderId="16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43" fontId="7" fillId="2" borderId="0" xfId="0" applyNumberFormat="1" applyFont="1" applyFill="1" applyAlignment="1">
      <alignment horizontal="right" vertical="center"/>
    </xf>
    <xf numFmtId="43" fontId="9" fillId="2" borderId="0" xfId="0" applyNumberFormat="1" applyFont="1" applyFill="1" applyAlignment="1">
      <alignment horizontal="right" vertical="center"/>
    </xf>
    <xf numFmtId="167" fontId="7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2" borderId="0" xfId="1" applyFont="1" applyFill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43" fontId="6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43" fontId="6" fillId="2" borderId="0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/>
    </xf>
    <xf numFmtId="43" fontId="4" fillId="2" borderId="0" xfId="1" applyFont="1" applyFill="1" applyBorder="1" applyAlignment="1">
      <alignment horizontal="right" vertical="center" wrapText="1"/>
    </xf>
    <xf numFmtId="43" fontId="5" fillId="2" borderId="0" xfId="1" applyFont="1" applyFill="1" applyBorder="1" applyAlignment="1">
      <alignment horizontal="right" vertical="center" wrapText="1"/>
    </xf>
    <xf numFmtId="166" fontId="6" fillId="2" borderId="0" xfId="1" applyNumberFormat="1" applyFont="1" applyFill="1" applyBorder="1" applyAlignment="1">
      <alignment horizontal="right" vertical="center" wrapText="1"/>
    </xf>
    <xf numFmtId="43" fontId="4" fillId="2" borderId="0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right" vertical="center" wrapText="1"/>
    </xf>
    <xf numFmtId="43" fontId="5" fillId="2" borderId="16" xfId="1" applyFont="1" applyFill="1" applyBorder="1" applyAlignment="1">
      <alignment horizontal="right" vertical="center" wrapText="1"/>
    </xf>
    <xf numFmtId="43" fontId="7" fillId="2" borderId="50" xfId="1" applyFont="1" applyFill="1" applyBorder="1" applyAlignment="1">
      <alignment horizontal="right" vertical="center" wrapText="1"/>
    </xf>
    <xf numFmtId="171" fontId="10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74" fontId="7" fillId="2" borderId="4" xfId="1" applyNumberFormat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right" vertical="center" wrapText="1"/>
    </xf>
    <xf numFmtId="174" fontId="7" fillId="2" borderId="0" xfId="1" applyNumberFormat="1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171" fontId="10" fillId="2" borderId="0" xfId="0" applyNumberFormat="1" applyFont="1" applyFill="1" applyAlignment="1">
      <alignment horizontal="right" vertical="center" wrapText="1"/>
    </xf>
    <xf numFmtId="171" fontId="7" fillId="2" borderId="0" xfId="0" applyNumberFormat="1" applyFont="1" applyFill="1" applyAlignment="1">
      <alignment horizontal="right" vertical="center"/>
    </xf>
    <xf numFmtId="171" fontId="10" fillId="3" borderId="0" xfId="0" applyNumberFormat="1" applyFont="1" applyFill="1" applyAlignment="1">
      <alignment horizontal="right" vertical="center" wrapText="1"/>
    </xf>
    <xf numFmtId="172" fontId="7" fillId="2" borderId="0" xfId="0" applyNumberFormat="1" applyFont="1" applyFill="1" applyAlignment="1">
      <alignment horizontal="right" vertical="center" wrapText="1"/>
    </xf>
    <xf numFmtId="171" fontId="7" fillId="0" borderId="0" xfId="1" applyNumberFormat="1" applyFont="1" applyFill="1" applyBorder="1" applyAlignment="1">
      <alignment horizontal="right" vertical="center" wrapText="1"/>
    </xf>
    <xf numFmtId="171" fontId="7" fillId="2" borderId="0" xfId="0" applyNumberFormat="1" applyFont="1" applyFill="1" applyAlignment="1">
      <alignment horizontal="right" vertical="center" wrapText="1"/>
    </xf>
    <xf numFmtId="171" fontId="7" fillId="2" borderId="0" xfId="0" applyNumberFormat="1" applyFont="1" applyFill="1" applyAlignment="1">
      <alignment vertical="center"/>
    </xf>
    <xf numFmtId="174" fontId="6" fillId="2" borderId="0" xfId="1" applyNumberFormat="1" applyFont="1" applyFill="1" applyBorder="1" applyAlignment="1">
      <alignment horizontal="right" vertical="center" wrapText="1"/>
    </xf>
    <xf numFmtId="0" fontId="7" fillId="5" borderId="0" xfId="0" applyFont="1" applyFill="1" applyAlignment="1">
      <alignment horizontal="right" vertical="center" wrapText="1"/>
    </xf>
    <xf numFmtId="43" fontId="6" fillId="2" borderId="5" xfId="0" applyNumberFormat="1" applyFont="1" applyFill="1" applyBorder="1" applyAlignment="1">
      <alignment horizontal="right" vertical="center"/>
    </xf>
    <xf numFmtId="43" fontId="7" fillId="2" borderId="5" xfId="0" applyNumberFormat="1" applyFont="1" applyFill="1" applyBorder="1" applyAlignment="1">
      <alignment horizontal="right" vertical="center"/>
    </xf>
    <xf numFmtId="171" fontId="4" fillId="2" borderId="0" xfId="1" applyNumberFormat="1" applyFont="1" applyFill="1" applyBorder="1" applyAlignment="1">
      <alignment horizontal="right" vertical="center" wrapText="1"/>
    </xf>
    <xf numFmtId="171" fontId="5" fillId="2" borderId="0" xfId="1" applyNumberFormat="1" applyFont="1" applyFill="1" applyBorder="1" applyAlignment="1">
      <alignment horizontal="right" vertical="center" wrapText="1"/>
    </xf>
    <xf numFmtId="174" fontId="6" fillId="2" borderId="5" xfId="0" applyNumberFormat="1" applyFont="1" applyFill="1" applyBorder="1" applyAlignment="1">
      <alignment horizontal="right" vertical="center"/>
    </xf>
    <xf numFmtId="174" fontId="7" fillId="2" borderId="5" xfId="0" applyNumberFormat="1" applyFont="1" applyFill="1" applyBorder="1" applyAlignment="1">
      <alignment horizontal="right" vertical="center"/>
    </xf>
    <xf numFmtId="171" fontId="7" fillId="2" borderId="0" xfId="1" applyNumberFormat="1" applyFont="1" applyFill="1" applyBorder="1" applyAlignment="1">
      <alignment horizontal="right" vertical="center" wrapText="1"/>
    </xf>
    <xf numFmtId="43" fontId="6" fillId="5" borderId="0" xfId="1" applyFont="1" applyFill="1" applyBorder="1" applyAlignment="1">
      <alignment horizontal="right" vertical="center" wrapText="1"/>
    </xf>
    <xf numFmtId="171" fontId="13" fillId="2" borderId="16" xfId="1" applyNumberFormat="1" applyFont="1" applyFill="1" applyBorder="1" applyAlignment="1">
      <alignment horizontal="right" vertical="center" wrapText="1"/>
    </xf>
    <xf numFmtId="171" fontId="6" fillId="2" borderId="0" xfId="1" applyNumberFormat="1" applyFont="1" applyFill="1" applyBorder="1" applyAlignment="1">
      <alignment horizontal="right" vertical="center" wrapText="1"/>
    </xf>
    <xf numFmtId="171" fontId="6" fillId="2" borderId="0" xfId="0" applyNumberFormat="1" applyFont="1" applyFill="1" applyAlignment="1">
      <alignment horizontal="right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9" fontId="10" fillId="2" borderId="0" xfId="1" applyNumberFormat="1" applyFont="1" applyFill="1" applyBorder="1" applyAlignment="1">
      <alignment horizontal="right" vertical="center" wrapText="1"/>
    </xf>
    <xf numFmtId="174" fontId="7" fillId="2" borderId="14" xfId="1" applyNumberFormat="1" applyFont="1" applyFill="1" applyBorder="1" applyAlignment="1">
      <alignment horizontal="right" vertical="center" wrapText="1"/>
    </xf>
    <xf numFmtId="174" fontId="5" fillId="2" borderId="0" xfId="1" applyNumberFormat="1" applyFont="1" applyFill="1" applyBorder="1" applyAlignment="1">
      <alignment horizontal="right" vertical="center" wrapText="1"/>
    </xf>
    <xf numFmtId="171" fontId="7" fillId="2" borderId="16" xfId="1" applyNumberFormat="1" applyFont="1" applyFill="1" applyBorder="1" applyAlignment="1">
      <alignment horizontal="right" vertical="center" wrapText="1"/>
    </xf>
    <xf numFmtId="171" fontId="5" fillId="0" borderId="0" xfId="0" applyNumberFormat="1" applyFont="1" applyAlignment="1">
      <alignment vertical="center"/>
    </xf>
    <xf numFmtId="171" fontId="16" fillId="2" borderId="0" xfId="0" applyNumberFormat="1" applyFont="1" applyFill="1" applyAlignment="1">
      <alignment horizontal="right" vertical="center"/>
    </xf>
    <xf numFmtId="171" fontId="17" fillId="2" borderId="1" xfId="1" applyNumberFormat="1" applyFont="1" applyFill="1" applyBorder="1" applyAlignment="1">
      <alignment horizontal="right" vertical="center" wrapText="1"/>
    </xf>
    <xf numFmtId="171" fontId="18" fillId="2" borderId="28" xfId="1" applyNumberFormat="1" applyFont="1" applyFill="1" applyBorder="1" applyAlignment="1">
      <alignment horizontal="right" vertical="center" wrapText="1"/>
    </xf>
    <xf numFmtId="171" fontId="18" fillId="2" borderId="15" xfId="1" applyNumberFormat="1" applyFont="1" applyFill="1" applyBorder="1" applyAlignment="1">
      <alignment horizontal="right" vertical="center" wrapText="1"/>
    </xf>
    <xf numFmtId="171" fontId="18" fillId="2" borderId="23" xfId="1" applyNumberFormat="1" applyFont="1" applyFill="1" applyBorder="1" applyAlignment="1">
      <alignment horizontal="right" vertical="center" wrapText="1"/>
    </xf>
    <xf numFmtId="171" fontId="6" fillId="3" borderId="0" xfId="0" applyNumberFormat="1" applyFont="1" applyFill="1" applyAlignment="1">
      <alignment horizontal="center" vertical="center" wrapText="1"/>
    </xf>
    <xf numFmtId="171" fontId="7" fillId="3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top" wrapText="1"/>
    </xf>
    <xf numFmtId="0" fontId="15" fillId="2" borderId="44" xfId="0" applyFont="1" applyFill="1" applyBorder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3" fontId="7" fillId="5" borderId="0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172" fontId="6" fillId="2" borderId="4" xfId="1" applyNumberFormat="1" applyFont="1" applyFill="1" applyBorder="1" applyAlignment="1">
      <alignment horizontal="right" vertical="center" wrapText="1"/>
    </xf>
    <xf numFmtId="172" fontId="7" fillId="2" borderId="4" xfId="1" applyNumberFormat="1" applyFont="1" applyFill="1" applyBorder="1" applyAlignment="1">
      <alignment horizontal="right" vertical="center" wrapText="1"/>
    </xf>
    <xf numFmtId="172" fontId="7" fillId="2" borderId="0" xfId="0" applyNumberFormat="1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left" vertical="center"/>
    </xf>
    <xf numFmtId="0" fontId="5" fillId="6" borderId="0" xfId="0" applyFont="1" applyFill="1" applyAlignment="1">
      <alignment vertical="center"/>
    </xf>
    <xf numFmtId="0" fontId="5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right" vertical="center"/>
    </xf>
    <xf numFmtId="0" fontId="5" fillId="6" borderId="0" xfId="0" applyFont="1" applyFill="1" applyAlignment="1">
      <alignment horizontal="right" vertical="center"/>
    </xf>
    <xf numFmtId="0" fontId="20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4" fillId="6" borderId="31" xfId="0" applyFont="1" applyFill="1" applyBorder="1" applyAlignment="1">
      <alignment horizontal="left" vertical="center" wrapText="1"/>
    </xf>
    <xf numFmtId="0" fontId="4" fillId="6" borderId="30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174" fontId="12" fillId="6" borderId="18" xfId="0" applyNumberFormat="1" applyFont="1" applyFill="1" applyBorder="1" applyAlignment="1">
      <alignment horizontal="right" vertical="center" wrapText="1"/>
    </xf>
    <xf numFmtId="174" fontId="12" fillId="6" borderId="1" xfId="0" applyNumberFormat="1" applyFont="1" applyFill="1" applyBorder="1" applyAlignment="1">
      <alignment horizontal="right" vertical="center" wrapText="1"/>
    </xf>
    <xf numFmtId="174" fontId="12" fillId="6" borderId="32" xfId="0" applyNumberFormat="1" applyFont="1" applyFill="1" applyBorder="1" applyAlignment="1">
      <alignment horizontal="right" vertical="center" wrapText="1"/>
    </xf>
    <xf numFmtId="0" fontId="15" fillId="6" borderId="6" xfId="0" applyFont="1" applyFill="1" applyBorder="1" applyAlignment="1">
      <alignment horizontal="left" vertical="center" wrapText="1"/>
    </xf>
    <xf numFmtId="0" fontId="5" fillId="6" borderId="34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174" fontId="12" fillId="6" borderId="6" xfId="0" applyNumberFormat="1" applyFont="1" applyFill="1" applyBorder="1" applyAlignment="1">
      <alignment horizontal="right" vertical="center" wrapText="1"/>
    </xf>
    <xf numFmtId="174" fontId="12" fillId="6" borderId="29" xfId="1" applyNumberFormat="1" applyFont="1" applyFill="1" applyBorder="1" applyAlignment="1">
      <alignment horizontal="right" vertical="center" wrapText="1"/>
    </xf>
    <xf numFmtId="174" fontId="12" fillId="6" borderId="6" xfId="1" applyNumberFormat="1" applyFont="1" applyFill="1" applyBorder="1" applyAlignment="1">
      <alignment horizontal="right" vertical="center" wrapText="1"/>
    </xf>
    <xf numFmtId="0" fontId="15" fillId="6" borderId="7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horizontal="center" vertical="center" wrapText="1"/>
    </xf>
    <xf numFmtId="174" fontId="5" fillId="6" borderId="15" xfId="0" applyNumberFormat="1" applyFont="1" applyFill="1" applyBorder="1" applyAlignment="1">
      <alignment horizontal="center" vertical="center" wrapText="1"/>
    </xf>
    <xf numFmtId="174" fontId="12" fillId="6" borderId="7" xfId="0" applyNumberFormat="1" applyFont="1" applyFill="1" applyBorder="1" applyAlignment="1">
      <alignment horizontal="right" vertical="center" wrapText="1"/>
    </xf>
    <xf numFmtId="174" fontId="12" fillId="6" borderId="13" xfId="1" applyNumberFormat="1" applyFont="1" applyFill="1" applyBorder="1" applyAlignment="1">
      <alignment horizontal="right" vertical="center" wrapText="1"/>
    </xf>
    <xf numFmtId="0" fontId="15" fillId="6" borderId="11" xfId="0" applyFont="1" applyFill="1" applyBorder="1" applyAlignment="1">
      <alignment horizontal="left" vertical="center" wrapText="1"/>
    </xf>
    <xf numFmtId="0" fontId="5" fillId="6" borderId="15" xfId="0" applyFont="1" applyFill="1" applyBorder="1" applyAlignment="1">
      <alignment horizontal="center" vertical="center" wrapText="1"/>
    </xf>
    <xf numFmtId="174" fontId="12" fillId="6" borderId="24" xfId="0" applyNumberFormat="1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5" fillId="6" borderId="31" xfId="0" applyFont="1" applyFill="1" applyBorder="1" applyAlignment="1">
      <alignment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12" fillId="6" borderId="48" xfId="0" applyFont="1" applyFill="1" applyBorder="1" applyAlignment="1">
      <alignment horizontal="right" vertical="center" wrapText="1"/>
    </xf>
    <xf numFmtId="43" fontId="13" fillId="6" borderId="1" xfId="1" applyFont="1" applyFill="1" applyBorder="1" applyAlignment="1">
      <alignment horizontal="right" vertical="center" wrapText="1"/>
    </xf>
    <xf numFmtId="43" fontId="13" fillId="6" borderId="32" xfId="1" applyFont="1" applyFill="1" applyBorder="1" applyAlignment="1">
      <alignment horizontal="right" vertical="center" wrapText="1"/>
    </xf>
    <xf numFmtId="0" fontId="22" fillId="6" borderId="20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169" fontId="12" fillId="6" borderId="1" xfId="0" applyNumberFormat="1" applyFont="1" applyFill="1" applyBorder="1" applyAlignment="1">
      <alignment horizontal="right" vertical="center" wrapText="1"/>
    </xf>
    <xf numFmtId="169" fontId="12" fillId="6" borderId="1" xfId="1" applyNumberFormat="1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vertical="center" wrapText="1"/>
    </xf>
    <xf numFmtId="169" fontId="12" fillId="6" borderId="6" xfId="0" applyNumberFormat="1" applyFont="1" applyFill="1" applyBorder="1" applyAlignment="1">
      <alignment horizontal="right" vertical="center" wrapText="1"/>
    </xf>
    <xf numFmtId="169" fontId="12" fillId="6" borderId="6" xfId="1" applyNumberFormat="1" applyFont="1" applyFill="1" applyBorder="1" applyAlignment="1">
      <alignment horizontal="right" vertical="center" wrapText="1"/>
    </xf>
    <xf numFmtId="0" fontId="5" fillId="6" borderId="7" xfId="0" applyFont="1" applyFill="1" applyBorder="1" applyAlignment="1">
      <alignment vertical="center" wrapText="1"/>
    </xf>
    <xf numFmtId="169" fontId="12" fillId="6" borderId="7" xfId="0" applyNumberFormat="1" applyFont="1" applyFill="1" applyBorder="1" applyAlignment="1">
      <alignment horizontal="right" vertical="center" wrapText="1"/>
    </xf>
    <xf numFmtId="174" fontId="12" fillId="6" borderId="7" xfId="1" applyNumberFormat="1" applyFont="1" applyFill="1" applyBorder="1" applyAlignment="1">
      <alignment horizontal="right" vertical="center" wrapText="1"/>
    </xf>
    <xf numFmtId="0" fontId="15" fillId="6" borderId="24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vertical="center" wrapText="1"/>
    </xf>
    <xf numFmtId="0" fontId="5" fillId="6" borderId="24" xfId="0" applyFont="1" applyFill="1" applyBorder="1" applyAlignment="1">
      <alignment horizontal="center" vertical="center" wrapText="1"/>
    </xf>
    <xf numFmtId="169" fontId="12" fillId="6" borderId="24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32" xfId="0" applyFont="1" applyFill="1" applyBorder="1" applyAlignment="1">
      <alignment horizontal="center" vertical="center" wrapText="1"/>
    </xf>
    <xf numFmtId="170" fontId="12" fillId="6" borderId="1" xfId="0" applyNumberFormat="1" applyFont="1" applyFill="1" applyBorder="1" applyAlignment="1">
      <alignment horizontal="right" vertical="center" wrapText="1"/>
    </xf>
    <xf numFmtId="170" fontId="12" fillId="6" borderId="31" xfId="1" applyNumberFormat="1" applyFont="1" applyFill="1" applyBorder="1" applyAlignment="1">
      <alignment horizontal="right" vertical="center" wrapText="1"/>
    </xf>
    <xf numFmtId="174" fontId="12" fillId="6" borderId="31" xfId="1" applyNumberFormat="1" applyFont="1" applyFill="1" applyBorder="1" applyAlignment="1">
      <alignment horizontal="right" vertical="center" wrapText="1"/>
    </xf>
    <xf numFmtId="0" fontId="5" fillId="6" borderId="11" xfId="0" applyFont="1" applyFill="1" applyBorder="1" applyAlignment="1">
      <alignment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44" xfId="0" applyFont="1" applyFill="1" applyBorder="1" applyAlignment="1">
      <alignment horizontal="center" vertical="center" wrapText="1"/>
    </xf>
    <xf numFmtId="170" fontId="12" fillId="6" borderId="11" xfId="0" applyNumberFormat="1" applyFont="1" applyFill="1" applyBorder="1" applyAlignment="1">
      <alignment horizontal="right" vertical="center" wrapText="1"/>
    </xf>
    <xf numFmtId="170" fontId="13" fillId="6" borderId="29" xfId="1" applyNumberFormat="1" applyFont="1" applyFill="1" applyBorder="1" applyAlignment="1">
      <alignment horizontal="right" vertical="center" wrapText="1"/>
    </xf>
    <xf numFmtId="174" fontId="13" fillId="6" borderId="11" xfId="1" applyNumberFormat="1" applyFont="1" applyFill="1" applyBorder="1" applyAlignment="1">
      <alignment horizontal="right" vertical="center" wrapText="1"/>
    </xf>
    <xf numFmtId="174" fontId="13" fillId="6" borderId="29" xfId="1" applyNumberFormat="1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center" vertical="center" wrapText="1"/>
    </xf>
    <xf numFmtId="174" fontId="13" fillId="6" borderId="7" xfId="1" applyNumberFormat="1" applyFont="1" applyFill="1" applyBorder="1" applyAlignment="1">
      <alignment horizontal="right" vertical="center" wrapText="1"/>
    </xf>
    <xf numFmtId="174" fontId="13" fillId="6" borderId="13" xfId="1" applyNumberFormat="1" applyFont="1" applyFill="1" applyBorder="1" applyAlignment="1">
      <alignment horizontal="right" vertical="center" wrapText="1"/>
    </xf>
    <xf numFmtId="170" fontId="12" fillId="6" borderId="7" xfId="0" applyNumberFormat="1" applyFont="1" applyFill="1" applyBorder="1" applyAlignment="1">
      <alignment horizontal="right" vertical="center" wrapText="1"/>
    </xf>
    <xf numFmtId="170" fontId="13" fillId="6" borderId="13" xfId="1" applyNumberFormat="1" applyFont="1" applyFill="1" applyBorder="1" applyAlignment="1">
      <alignment horizontal="right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50" xfId="0" applyFont="1" applyFill="1" applyBorder="1" applyAlignment="1">
      <alignment horizontal="center" vertical="center" wrapText="1"/>
    </xf>
    <xf numFmtId="170" fontId="12" fillId="6" borderId="24" xfId="0" applyNumberFormat="1" applyFont="1" applyFill="1" applyBorder="1" applyAlignment="1">
      <alignment horizontal="right" vertical="center" wrapText="1"/>
    </xf>
    <xf numFmtId="170" fontId="13" fillId="6" borderId="27" xfId="1" applyNumberFormat="1" applyFont="1" applyFill="1" applyBorder="1" applyAlignment="1">
      <alignment horizontal="right" vertical="center" wrapText="1"/>
    </xf>
    <xf numFmtId="174" fontId="13" fillId="6" borderId="9" xfId="1" applyNumberFormat="1" applyFont="1" applyFill="1" applyBorder="1" applyAlignment="1">
      <alignment horizontal="right" vertical="center" wrapText="1"/>
    </xf>
    <xf numFmtId="174" fontId="13" fillId="6" borderId="27" xfId="1" applyNumberFormat="1" applyFont="1" applyFill="1" applyBorder="1" applyAlignment="1">
      <alignment horizontal="right" vertical="center" wrapText="1"/>
    </xf>
    <xf numFmtId="169" fontId="12" fillId="6" borderId="32" xfId="0" applyNumberFormat="1" applyFont="1" applyFill="1" applyBorder="1" applyAlignment="1">
      <alignment horizontal="right" vertical="center" wrapText="1"/>
    </xf>
    <xf numFmtId="174" fontId="12" fillId="6" borderId="30" xfId="1" applyNumberFormat="1" applyFont="1" applyFill="1" applyBorder="1" applyAlignment="1">
      <alignment horizontal="right" vertical="center" wrapText="1"/>
    </xf>
    <xf numFmtId="171" fontId="12" fillId="6" borderId="1" xfId="1" applyNumberFormat="1" applyFont="1" applyFill="1" applyBorder="1" applyAlignment="1">
      <alignment horizontal="right" vertical="center" wrapText="1"/>
    </xf>
    <xf numFmtId="0" fontId="15" fillId="6" borderId="29" xfId="0" applyFont="1" applyFill="1" applyBorder="1" applyAlignment="1">
      <alignment horizontal="left" vertical="center" wrapText="1"/>
    </xf>
    <xf numFmtId="0" fontId="5" fillId="6" borderId="28" xfId="0" applyFont="1" applyFill="1" applyBorder="1" applyAlignment="1">
      <alignment vertical="center" wrapText="1"/>
    </xf>
    <xf numFmtId="0" fontId="5" fillId="6" borderId="28" xfId="0" applyFont="1" applyFill="1" applyBorder="1" applyAlignment="1">
      <alignment horizontal="center" vertical="center" wrapText="1"/>
    </xf>
    <xf numFmtId="169" fontId="13" fillId="6" borderId="44" xfId="1" applyNumberFormat="1" applyFont="1" applyFill="1" applyBorder="1" applyAlignment="1">
      <alignment horizontal="right" vertical="center" wrapText="1"/>
    </xf>
    <xf numFmtId="171" fontId="13" fillId="6" borderId="11" xfId="1" applyNumberFormat="1" applyFont="1" applyFill="1" applyBorder="1" applyAlignment="1">
      <alignment horizontal="right" vertical="center" wrapText="1"/>
    </xf>
    <xf numFmtId="169" fontId="13" fillId="6" borderId="11" xfId="1" applyNumberFormat="1" applyFont="1" applyFill="1" applyBorder="1" applyAlignment="1">
      <alignment horizontal="right" vertical="center" wrapText="1"/>
    </xf>
    <xf numFmtId="0" fontId="15" fillId="6" borderId="13" xfId="0" applyFont="1" applyFill="1" applyBorder="1" applyAlignment="1">
      <alignment horizontal="left" vertical="center" wrapText="1"/>
    </xf>
    <xf numFmtId="0" fontId="5" fillId="6" borderId="15" xfId="0" applyFont="1" applyFill="1" applyBorder="1" applyAlignment="1">
      <alignment vertical="center" wrapText="1"/>
    </xf>
    <xf numFmtId="171" fontId="13" fillId="6" borderId="7" xfId="1" applyNumberFormat="1" applyFont="1" applyFill="1" applyBorder="1" applyAlignment="1">
      <alignment horizontal="right" vertical="center" wrapText="1"/>
    </xf>
    <xf numFmtId="169" fontId="13" fillId="6" borderId="7" xfId="1" applyNumberFormat="1" applyFont="1" applyFill="1" applyBorder="1" applyAlignment="1">
      <alignment horizontal="right" vertical="center" wrapText="1"/>
    </xf>
    <xf numFmtId="0" fontId="15" fillId="6" borderId="35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center" vertical="center" wrapText="1"/>
    </xf>
    <xf numFmtId="171" fontId="13" fillId="6" borderId="24" xfId="1" applyNumberFormat="1" applyFont="1" applyFill="1" applyBorder="1" applyAlignment="1">
      <alignment horizontal="right" vertical="center" wrapText="1"/>
    </xf>
    <xf numFmtId="169" fontId="13" fillId="6" borderId="24" xfId="1" applyNumberFormat="1" applyFont="1" applyFill="1" applyBorder="1" applyAlignment="1">
      <alignment horizontal="right" vertical="center" wrapText="1"/>
    </xf>
    <xf numFmtId="174" fontId="13" fillId="6" borderId="35" xfId="1" applyNumberFormat="1" applyFont="1" applyFill="1" applyBorder="1" applyAlignment="1">
      <alignment horizontal="right" vertical="center" wrapText="1"/>
    </xf>
    <xf numFmtId="0" fontId="14" fillId="6" borderId="31" xfId="0" applyFont="1" applyFill="1" applyBorder="1" applyAlignment="1">
      <alignment horizontal="left" vertical="top" wrapText="1"/>
    </xf>
    <xf numFmtId="169" fontId="12" fillId="6" borderId="49" xfId="0" applyNumberFormat="1" applyFont="1" applyFill="1" applyBorder="1" applyAlignment="1">
      <alignment horizontal="right" vertical="center" wrapText="1"/>
    </xf>
    <xf numFmtId="174" fontId="12" fillId="6" borderId="1" xfId="1" applyNumberFormat="1" applyFont="1" applyFill="1" applyBorder="1" applyAlignment="1">
      <alignment horizontal="right" vertical="center" wrapText="1"/>
    </xf>
    <xf numFmtId="169" fontId="13" fillId="6" borderId="34" xfId="1" applyNumberFormat="1" applyFont="1" applyFill="1" applyBorder="1" applyAlignment="1">
      <alignment horizontal="right" vertical="center" wrapText="1"/>
    </xf>
    <xf numFmtId="169" fontId="13" fillId="6" borderId="6" xfId="1" applyNumberFormat="1" applyFont="1" applyFill="1" applyBorder="1" applyAlignment="1">
      <alignment horizontal="right" vertical="center" wrapText="1"/>
    </xf>
    <xf numFmtId="174" fontId="13" fillId="6" borderId="6" xfId="1" applyNumberFormat="1" applyFont="1" applyFill="1" applyBorder="1" applyAlignment="1">
      <alignment horizontal="right" vertical="center" wrapText="1"/>
    </xf>
    <xf numFmtId="174" fontId="13" fillId="6" borderId="24" xfId="1" applyNumberFormat="1" applyFont="1" applyFill="1" applyBorder="1" applyAlignment="1">
      <alignment horizontal="right" vertical="center" wrapText="1"/>
    </xf>
    <xf numFmtId="169" fontId="12" fillId="6" borderId="0" xfId="0" applyNumberFormat="1" applyFont="1" applyFill="1" applyBorder="1" applyAlignment="1">
      <alignment horizontal="right" vertical="center" wrapText="1"/>
    </xf>
    <xf numFmtId="171" fontId="12" fillId="6" borderId="1" xfId="0" applyNumberFormat="1" applyFont="1" applyFill="1" applyBorder="1" applyAlignment="1">
      <alignment horizontal="right" vertical="center" wrapText="1"/>
    </xf>
    <xf numFmtId="171" fontId="12" fillId="6" borderId="32" xfId="0" applyNumberFormat="1" applyFont="1" applyFill="1" applyBorder="1" applyAlignment="1">
      <alignment horizontal="right" vertical="center" wrapText="1"/>
    </xf>
    <xf numFmtId="171" fontId="12" fillId="6" borderId="6" xfId="0" applyNumberFormat="1" applyFont="1" applyFill="1" applyBorder="1" applyAlignment="1">
      <alignment horizontal="right" vertical="center" wrapText="1"/>
    </xf>
    <xf numFmtId="171" fontId="13" fillId="6" borderId="34" xfId="0" applyNumberFormat="1" applyFont="1" applyFill="1" applyBorder="1" applyAlignment="1">
      <alignment vertical="center" wrapText="1"/>
    </xf>
    <xf numFmtId="171" fontId="13" fillId="6" borderId="6" xfId="0" applyNumberFormat="1" applyFont="1" applyFill="1" applyBorder="1" applyAlignment="1">
      <alignment vertical="center" wrapText="1"/>
    </xf>
    <xf numFmtId="171" fontId="13" fillId="6" borderId="6" xfId="0" applyNumberFormat="1" applyFont="1" applyFill="1" applyBorder="1" applyAlignment="1">
      <alignment horizontal="right" vertical="center"/>
    </xf>
    <xf numFmtId="171" fontId="13" fillId="6" borderId="13" xfId="0" applyNumberFormat="1" applyFont="1" applyFill="1" applyBorder="1" applyAlignment="1">
      <alignment horizontal="right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vertical="center" wrapText="1"/>
    </xf>
    <xf numFmtId="171" fontId="13" fillId="6" borderId="35" xfId="0" applyNumberFormat="1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15" fillId="6" borderId="34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left" vertical="center" wrapText="1"/>
    </xf>
    <xf numFmtId="0" fontId="14" fillId="6" borderId="2" xfId="0" applyFont="1" applyFill="1" applyBorder="1" applyAlignment="1">
      <alignment horizontal="left" vertical="center" wrapText="1"/>
    </xf>
    <xf numFmtId="174" fontId="12" fillId="6" borderId="18" xfId="1" applyNumberFormat="1" applyFont="1" applyFill="1" applyBorder="1" applyAlignment="1">
      <alignment horizontal="right" vertical="center" wrapText="1"/>
    </xf>
    <xf numFmtId="174" fontId="12" fillId="6" borderId="32" xfId="1" applyNumberFormat="1" applyFont="1" applyFill="1" applyBorder="1" applyAlignment="1">
      <alignment horizontal="right" vertical="center" wrapText="1"/>
    </xf>
    <xf numFmtId="0" fontId="4" fillId="6" borderId="42" xfId="0" applyFont="1" applyFill="1" applyBorder="1" applyAlignment="1">
      <alignment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172" fontId="12" fillId="6" borderId="44" xfId="0" applyNumberFormat="1" applyFont="1" applyFill="1" applyBorder="1" applyAlignment="1">
      <alignment horizontal="right" vertical="center" wrapText="1"/>
    </xf>
    <xf numFmtId="169" fontId="12" fillId="6" borderId="29" xfId="1" applyNumberFormat="1" applyFont="1" applyFill="1" applyBorder="1" applyAlignment="1">
      <alignment horizontal="right" vertical="center" wrapText="1"/>
    </xf>
    <xf numFmtId="43" fontId="12" fillId="6" borderId="6" xfId="1" applyFont="1" applyFill="1" applyBorder="1" applyAlignment="1">
      <alignment horizontal="right" vertical="center" wrapText="1"/>
    </xf>
    <xf numFmtId="0" fontId="5" fillId="6" borderId="44" xfId="0" applyFont="1" applyFill="1" applyBorder="1" applyAlignment="1">
      <alignment vertical="center" wrapText="1"/>
    </xf>
    <xf numFmtId="174" fontId="12" fillId="6" borderId="44" xfId="0" applyNumberFormat="1" applyFont="1" applyFill="1" applyBorder="1" applyAlignment="1">
      <alignment horizontal="right" vertical="center" wrapText="1"/>
    </xf>
    <xf numFmtId="171" fontId="13" fillId="6" borderId="29" xfId="1" applyNumberFormat="1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vertical="center" wrapText="1"/>
    </xf>
    <xf numFmtId="172" fontId="12" fillId="6" borderId="16" xfId="0" applyNumberFormat="1" applyFont="1" applyFill="1" applyBorder="1" applyAlignment="1">
      <alignment horizontal="right" vertical="center" wrapText="1"/>
    </xf>
    <xf numFmtId="171" fontId="13" fillId="6" borderId="13" xfId="1" applyNumberFormat="1" applyFont="1" applyFill="1" applyBorder="1" applyAlignment="1">
      <alignment horizontal="right" vertical="center" wrapText="1"/>
    </xf>
    <xf numFmtId="0" fontId="5" fillId="6" borderId="50" xfId="0" applyFont="1" applyFill="1" applyBorder="1" applyAlignment="1">
      <alignment vertical="center" wrapText="1"/>
    </xf>
    <xf numFmtId="0" fontId="5" fillId="6" borderId="0" xfId="0" applyFont="1" applyFill="1" applyBorder="1" applyAlignment="1">
      <alignment horizontal="center" vertical="center" wrapText="1"/>
    </xf>
    <xf numFmtId="172" fontId="12" fillId="6" borderId="50" xfId="0" applyNumberFormat="1" applyFont="1" applyFill="1" applyBorder="1" applyAlignment="1">
      <alignment horizontal="right" vertical="center" wrapText="1"/>
    </xf>
    <xf numFmtId="171" fontId="13" fillId="6" borderId="27" xfId="1" applyNumberFormat="1" applyFont="1" applyFill="1" applyBorder="1" applyAlignment="1">
      <alignment horizontal="right" vertical="center" wrapText="1"/>
    </xf>
    <xf numFmtId="0" fontId="14" fillId="6" borderId="30" xfId="0" applyFont="1" applyFill="1" applyBorder="1" applyAlignment="1">
      <alignment horizontal="left" vertical="center" wrapText="1"/>
    </xf>
    <xf numFmtId="172" fontId="12" fillId="6" borderId="1" xfId="0" applyNumberFormat="1" applyFont="1" applyFill="1" applyBorder="1" applyAlignment="1">
      <alignment horizontal="right" vertical="center" wrapText="1"/>
    </xf>
    <xf numFmtId="172" fontId="12" fillId="6" borderId="6" xfId="0" applyNumberFormat="1" applyFont="1" applyFill="1" applyBorder="1" applyAlignment="1">
      <alignment horizontal="right" vertical="center" wrapText="1"/>
    </xf>
    <xf numFmtId="171" fontId="13" fillId="6" borderId="28" xfId="1" applyNumberFormat="1" applyFont="1" applyFill="1" applyBorder="1" applyAlignment="1">
      <alignment horizontal="right" vertical="center" wrapText="1"/>
    </xf>
    <xf numFmtId="174" fontId="13" fillId="6" borderId="22" xfId="1" applyNumberFormat="1" applyFont="1" applyFill="1" applyBorder="1" applyAlignment="1">
      <alignment horizontal="right" vertical="center" wrapText="1"/>
    </xf>
    <xf numFmtId="171" fontId="13" fillId="6" borderId="15" xfId="1" applyNumberFormat="1" applyFont="1" applyFill="1" applyBorder="1" applyAlignment="1">
      <alignment horizontal="right" vertical="center" wrapText="1"/>
    </xf>
    <xf numFmtId="174" fontId="13" fillId="6" borderId="15" xfId="1" applyNumberFormat="1" applyFont="1" applyFill="1" applyBorder="1" applyAlignment="1">
      <alignment horizontal="right" vertical="center" wrapText="1"/>
    </xf>
    <xf numFmtId="171" fontId="13" fillId="6" borderId="23" xfId="1" applyNumberFormat="1" applyFont="1" applyFill="1" applyBorder="1" applyAlignment="1">
      <alignment horizontal="right" vertical="center" wrapText="1"/>
    </xf>
    <xf numFmtId="174" fontId="13" fillId="6" borderId="23" xfId="1" applyNumberFormat="1" applyFont="1" applyFill="1" applyBorder="1" applyAlignment="1">
      <alignment horizontal="right" vertical="center" wrapText="1"/>
    </xf>
    <xf numFmtId="0" fontId="4" fillId="6" borderId="26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 vertical="center" wrapText="1"/>
    </xf>
    <xf numFmtId="169" fontId="12" fillId="6" borderId="43" xfId="0" applyNumberFormat="1" applyFont="1" applyFill="1" applyBorder="1" applyAlignment="1">
      <alignment horizontal="right" vertical="center" wrapText="1"/>
    </xf>
    <xf numFmtId="174" fontId="12" fillId="6" borderId="19" xfId="1" applyNumberFormat="1" applyFont="1" applyFill="1" applyBorder="1" applyAlignment="1">
      <alignment horizontal="right" vertical="center" wrapText="1"/>
    </xf>
    <xf numFmtId="0" fontId="4" fillId="6" borderId="22" xfId="0" applyFont="1" applyFill="1" applyBorder="1" applyAlignment="1">
      <alignment vertical="center" wrapText="1"/>
    </xf>
    <xf numFmtId="169" fontId="12" fillId="6" borderId="22" xfId="0" applyNumberFormat="1" applyFont="1" applyFill="1" applyBorder="1" applyAlignment="1">
      <alignment horizontal="right" vertical="center" wrapText="1"/>
    </xf>
    <xf numFmtId="174" fontId="13" fillId="6" borderId="42" xfId="1" applyNumberFormat="1" applyFont="1" applyFill="1" applyBorder="1" applyAlignment="1">
      <alignment horizontal="right" vertical="center" wrapText="1"/>
    </xf>
    <xf numFmtId="174" fontId="12" fillId="6" borderId="15" xfId="0" applyNumberFormat="1" applyFont="1" applyFill="1" applyBorder="1" applyAlignment="1">
      <alignment horizontal="right" vertical="center" wrapText="1"/>
    </xf>
    <xf numFmtId="174" fontId="13" fillId="6" borderId="16" xfId="1" applyNumberFormat="1" applyFont="1" applyFill="1" applyBorder="1" applyAlignment="1">
      <alignment horizontal="right" vertical="center" wrapText="1"/>
    </xf>
    <xf numFmtId="169" fontId="12" fillId="6" borderId="15" xfId="0" applyNumberFormat="1" applyFont="1" applyFill="1" applyBorder="1" applyAlignment="1">
      <alignment horizontal="right" vertical="center" wrapText="1"/>
    </xf>
    <xf numFmtId="169" fontId="12" fillId="6" borderId="23" xfId="0" applyNumberFormat="1" applyFont="1" applyFill="1" applyBorder="1" applyAlignment="1">
      <alignment horizontal="right" vertical="center" wrapText="1"/>
    </xf>
    <xf numFmtId="174" fontId="13" fillId="6" borderId="41" xfId="1" applyNumberFormat="1" applyFont="1" applyFill="1" applyBorder="1" applyAlignment="1">
      <alignment horizontal="right" vertical="center" wrapText="1"/>
    </xf>
    <xf numFmtId="0" fontId="12" fillId="6" borderId="22" xfId="0" applyFont="1" applyFill="1" applyBorder="1" applyAlignment="1">
      <alignment horizontal="right" vertical="center" wrapText="1"/>
    </xf>
    <xf numFmtId="169" fontId="13" fillId="6" borderId="22" xfId="1" applyNumberFormat="1" applyFont="1" applyFill="1" applyBorder="1" applyAlignment="1">
      <alignment horizontal="right" vertical="center" wrapText="1"/>
    </xf>
    <xf numFmtId="168" fontId="13" fillId="6" borderId="22" xfId="1" applyNumberFormat="1" applyFont="1" applyFill="1" applyBorder="1" applyAlignment="1">
      <alignment horizontal="right" vertical="center" wrapText="1"/>
    </xf>
    <xf numFmtId="168" fontId="13" fillId="6" borderId="34" xfId="1" applyNumberFormat="1" applyFont="1" applyFill="1" applyBorder="1" applyAlignment="1">
      <alignment horizontal="right" vertical="center" wrapText="1"/>
    </xf>
    <xf numFmtId="171" fontId="12" fillId="6" borderId="15" xfId="0" applyNumberFormat="1" applyFont="1" applyFill="1" applyBorder="1" applyAlignment="1">
      <alignment horizontal="right" vertical="center" wrapText="1"/>
    </xf>
    <xf numFmtId="172" fontId="12" fillId="6" borderId="15" xfId="0" applyNumberFormat="1" applyFont="1" applyFill="1" applyBorder="1" applyAlignment="1">
      <alignment horizontal="right" vertical="center" wrapText="1"/>
    </xf>
    <xf numFmtId="169" fontId="13" fillId="6" borderId="15" xfId="1" applyNumberFormat="1" applyFont="1" applyFill="1" applyBorder="1" applyAlignment="1">
      <alignment horizontal="right" vertical="center" wrapText="1"/>
    </xf>
    <xf numFmtId="171" fontId="12" fillId="6" borderId="21" xfId="0" applyNumberFormat="1" applyFont="1" applyFill="1" applyBorder="1" applyAlignment="1">
      <alignment horizontal="right" vertical="center" wrapText="1"/>
    </xf>
    <xf numFmtId="171" fontId="13" fillId="6" borderId="21" xfId="1" applyNumberFormat="1" applyFont="1" applyFill="1" applyBorder="1" applyAlignment="1">
      <alignment horizontal="right" vertical="center" wrapText="1"/>
    </xf>
    <xf numFmtId="174" fontId="13" fillId="6" borderId="21" xfId="1" applyNumberFormat="1" applyFont="1" applyFill="1" applyBorder="1" applyAlignment="1">
      <alignment horizontal="right" vertical="center" wrapText="1"/>
    </xf>
    <xf numFmtId="174" fontId="13" fillId="6" borderId="10" xfId="1" applyNumberFormat="1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horizontal="left" vertical="top" wrapText="1"/>
    </xf>
    <xf numFmtId="171" fontId="12" fillId="6" borderId="18" xfId="0" applyNumberFormat="1" applyFont="1" applyFill="1" applyBorder="1" applyAlignment="1">
      <alignment horizontal="right" vertical="center" wrapText="1"/>
    </xf>
    <xf numFmtId="171" fontId="12" fillId="6" borderId="18" xfId="1" applyNumberFormat="1" applyFont="1" applyFill="1" applyBorder="1" applyAlignment="1">
      <alignment horizontal="right" vertical="center" wrapText="1"/>
    </xf>
    <xf numFmtId="0" fontId="5" fillId="6" borderId="58" xfId="0" applyFont="1" applyFill="1" applyBorder="1" applyAlignment="1">
      <alignment vertical="center" wrapText="1"/>
    </xf>
    <xf numFmtId="171" fontId="13" fillId="6" borderId="42" xfId="1" applyNumberFormat="1" applyFont="1" applyFill="1" applyBorder="1" applyAlignment="1">
      <alignment horizontal="right" vertical="center" wrapText="1"/>
    </xf>
    <xf numFmtId="171" fontId="13" fillId="6" borderId="22" xfId="1" applyNumberFormat="1" applyFont="1" applyFill="1" applyBorder="1" applyAlignment="1">
      <alignment horizontal="right" vertical="center" wrapText="1"/>
    </xf>
    <xf numFmtId="171" fontId="12" fillId="6" borderId="6" xfId="1" applyNumberFormat="1" applyFont="1" applyFill="1" applyBorder="1" applyAlignment="1">
      <alignment horizontal="right" vertical="center" wrapText="1"/>
    </xf>
    <xf numFmtId="171" fontId="13" fillId="6" borderId="34" xfId="1" applyNumberFormat="1" applyFont="1" applyFill="1" applyBorder="1" applyAlignment="1">
      <alignment horizontal="right" vertical="center" wrapText="1"/>
    </xf>
    <xf numFmtId="0" fontId="5" fillId="6" borderId="14" xfId="0" applyFont="1" applyFill="1" applyBorder="1" applyAlignment="1">
      <alignment vertical="center" wrapText="1"/>
    </xf>
    <xf numFmtId="171" fontId="12" fillId="6" borderId="7" xfId="0" applyNumberFormat="1" applyFont="1" applyFill="1" applyBorder="1" applyAlignment="1">
      <alignment horizontal="right" vertical="center" wrapText="1"/>
    </xf>
    <xf numFmtId="171" fontId="13" fillId="6" borderId="16" xfId="1" applyNumberFormat="1" applyFont="1" applyFill="1" applyBorder="1" applyAlignment="1">
      <alignment horizontal="right" vertical="center" wrapText="1"/>
    </xf>
    <xf numFmtId="0" fontId="5" fillId="6" borderId="59" xfId="0" applyFont="1" applyFill="1" applyBorder="1" applyAlignment="1">
      <alignment vertical="center" wrapText="1"/>
    </xf>
    <xf numFmtId="171" fontId="12" fillId="6" borderId="24" xfId="0" applyNumberFormat="1" applyFont="1" applyFill="1" applyBorder="1" applyAlignment="1">
      <alignment horizontal="right" vertical="center" wrapText="1"/>
    </xf>
    <xf numFmtId="171" fontId="13" fillId="6" borderId="50" xfId="1" applyNumberFormat="1" applyFont="1" applyFill="1" applyBorder="1" applyAlignment="1">
      <alignment horizontal="right" vertical="center" wrapText="1"/>
    </xf>
    <xf numFmtId="171" fontId="13" fillId="6" borderId="10" xfId="1" applyNumberFormat="1" applyFont="1" applyFill="1" applyBorder="1" applyAlignment="1">
      <alignment horizontal="right" vertical="center" wrapText="1"/>
    </xf>
    <xf numFmtId="0" fontId="14" fillId="6" borderId="32" xfId="0" applyFont="1" applyFill="1" applyBorder="1" applyAlignment="1">
      <alignment horizontal="left" vertical="center" wrapText="1"/>
    </xf>
    <xf numFmtId="171" fontId="12" fillId="6" borderId="36" xfId="0" applyNumberFormat="1" applyFont="1" applyFill="1" applyBorder="1" applyAlignment="1">
      <alignment horizontal="right" vertical="center" wrapText="1"/>
    </xf>
    <xf numFmtId="0" fontId="5" fillId="6" borderId="42" xfId="0" applyFont="1" applyFill="1" applyBorder="1" applyAlignment="1">
      <alignment vertical="center" wrapText="1"/>
    </xf>
    <xf numFmtId="171" fontId="12" fillId="6" borderId="42" xfId="1" applyNumberFormat="1" applyFont="1" applyFill="1" applyBorder="1" applyAlignment="1">
      <alignment horizontal="right" vertical="center" wrapText="1"/>
    </xf>
    <xf numFmtId="171" fontId="13" fillId="6" borderId="6" xfId="1" applyNumberFormat="1" applyFont="1" applyFill="1" applyBorder="1" applyAlignment="1">
      <alignment horizontal="right" vertical="center" wrapText="1"/>
    </xf>
    <xf numFmtId="0" fontId="5" fillId="6" borderId="41" xfId="0" applyFont="1" applyFill="1" applyBorder="1" applyAlignment="1">
      <alignment vertical="center" wrapText="1"/>
    </xf>
    <xf numFmtId="171" fontId="13" fillId="6" borderId="35" xfId="1" applyNumberFormat="1" applyFont="1" applyFill="1" applyBorder="1" applyAlignment="1">
      <alignment horizontal="right" vertical="center" wrapText="1"/>
    </xf>
    <xf numFmtId="171" fontId="13" fillId="6" borderId="41" xfId="1" applyNumberFormat="1" applyFont="1" applyFill="1" applyBorder="1" applyAlignment="1">
      <alignment horizontal="right" vertical="center" wrapText="1"/>
    </xf>
    <xf numFmtId="0" fontId="4" fillId="6" borderId="0" xfId="0" applyFont="1" applyFill="1" applyBorder="1" applyAlignment="1">
      <alignment horizontal="center" vertical="center" wrapText="1"/>
    </xf>
    <xf numFmtId="169" fontId="12" fillId="6" borderId="36" xfId="0" applyNumberFormat="1" applyFont="1" applyFill="1" applyBorder="1" applyAlignment="1">
      <alignment horizontal="right" vertical="center" wrapText="1"/>
    </xf>
    <xf numFmtId="169" fontId="12" fillId="6" borderId="0" xfId="1" applyNumberFormat="1" applyFont="1" applyFill="1" applyBorder="1" applyAlignment="1">
      <alignment horizontal="right" vertical="center" wrapText="1"/>
    </xf>
    <xf numFmtId="169" fontId="12" fillId="6" borderId="36" xfId="1" applyNumberFormat="1" applyFont="1" applyFill="1" applyBorder="1" applyAlignment="1">
      <alignment horizontal="right" vertical="center" wrapText="1"/>
    </xf>
    <xf numFmtId="169" fontId="12" fillId="6" borderId="37" xfId="1" applyNumberFormat="1" applyFont="1" applyFill="1" applyBorder="1" applyAlignment="1">
      <alignment horizontal="right" vertical="center" wrapText="1"/>
    </xf>
    <xf numFmtId="169" fontId="12" fillId="6" borderId="34" xfId="1" applyNumberFormat="1" applyFont="1" applyFill="1" applyBorder="1" applyAlignment="1">
      <alignment horizontal="right" vertical="center" wrapText="1"/>
    </xf>
    <xf numFmtId="0" fontId="14" fillId="6" borderId="20" xfId="0" applyFont="1" applyFill="1" applyBorder="1" applyAlignment="1">
      <alignment horizontal="left" vertical="center" wrapText="1"/>
    </xf>
    <xf numFmtId="0" fontId="4" fillId="6" borderId="17" xfId="0" applyFont="1" applyFill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171" fontId="13" fillId="6" borderId="1" xfId="1" applyNumberFormat="1" applyFont="1" applyFill="1" applyBorder="1" applyAlignment="1">
      <alignment horizontal="right" vertical="center" wrapText="1"/>
    </xf>
    <xf numFmtId="171" fontId="13" fillId="6" borderId="36" xfId="1" applyNumberFormat="1" applyFont="1" applyFill="1" applyBorder="1" applyAlignment="1">
      <alignment horizontal="right" vertical="center" wrapText="1"/>
    </xf>
    <xf numFmtId="0" fontId="15" fillId="6" borderId="42" xfId="0" applyFont="1" applyFill="1" applyBorder="1" applyAlignment="1">
      <alignment horizontal="left" vertical="center" wrapText="1"/>
    </xf>
    <xf numFmtId="0" fontId="15" fillId="6" borderId="16" xfId="0" applyFont="1" applyFill="1" applyBorder="1" applyAlignment="1">
      <alignment horizontal="left" vertical="center" wrapText="1"/>
    </xf>
    <xf numFmtId="0" fontId="15" fillId="6" borderId="41" xfId="0" applyFont="1" applyFill="1" applyBorder="1" applyAlignment="1">
      <alignment horizontal="left" vertical="center" wrapText="1"/>
    </xf>
    <xf numFmtId="172" fontId="12" fillId="6" borderId="19" xfId="0" applyNumberFormat="1" applyFont="1" applyFill="1" applyBorder="1" applyAlignment="1">
      <alignment horizontal="right" vertical="center" wrapText="1"/>
    </xf>
    <xf numFmtId="171" fontId="12" fillId="6" borderId="19" xfId="0" applyNumberFormat="1" applyFont="1" applyFill="1" applyBorder="1" applyAlignment="1">
      <alignment horizontal="right" vertical="center"/>
    </xf>
    <xf numFmtId="174" fontId="12" fillId="6" borderId="48" xfId="1" applyNumberFormat="1" applyFont="1" applyFill="1" applyBorder="1" applyAlignment="1">
      <alignment horizontal="right" vertical="center" wrapText="1"/>
    </xf>
    <xf numFmtId="0" fontId="12" fillId="6" borderId="42" xfId="0" applyFont="1" applyFill="1" applyBorder="1" applyAlignment="1">
      <alignment horizontal="right" vertical="center" wrapText="1"/>
    </xf>
    <xf numFmtId="43" fontId="13" fillId="6" borderId="6" xfId="1" applyFont="1" applyFill="1" applyBorder="1" applyAlignment="1">
      <alignment horizontal="right" vertical="center" wrapText="1"/>
    </xf>
    <xf numFmtId="43" fontId="13" fillId="6" borderId="34" xfId="1" applyFont="1" applyFill="1" applyBorder="1" applyAlignment="1">
      <alignment horizontal="right" vertical="center" wrapText="1"/>
    </xf>
    <xf numFmtId="171" fontId="13" fillId="6" borderId="7" xfId="0" applyNumberFormat="1" applyFont="1" applyFill="1" applyBorder="1" applyAlignment="1">
      <alignment horizontal="right" vertical="center"/>
    </xf>
    <xf numFmtId="172" fontId="12" fillId="6" borderId="41" xfId="0" applyNumberFormat="1" applyFont="1" applyFill="1" applyBorder="1" applyAlignment="1">
      <alignment horizontal="right" vertical="center" wrapText="1"/>
    </xf>
    <xf numFmtId="171" fontId="13" fillId="6" borderId="24" xfId="0" applyNumberFormat="1" applyFont="1" applyFill="1" applyBorder="1" applyAlignment="1">
      <alignment horizontal="right" vertical="center"/>
    </xf>
    <xf numFmtId="171" fontId="12" fillId="6" borderId="49" xfId="1" applyNumberFormat="1" applyFont="1" applyFill="1" applyBorder="1" applyAlignment="1">
      <alignment horizontal="right" vertical="center" wrapText="1"/>
    </xf>
    <xf numFmtId="171" fontId="12" fillId="6" borderId="31" xfId="1" applyNumberFormat="1" applyFont="1" applyFill="1" applyBorder="1" applyAlignment="1">
      <alignment horizontal="right" vertical="center" wrapText="1"/>
    </xf>
    <xf numFmtId="0" fontId="15" fillId="6" borderId="38" xfId="0" applyFont="1" applyFill="1" applyBorder="1" applyAlignment="1">
      <alignment horizontal="left" vertical="center" wrapText="1"/>
    </xf>
    <xf numFmtId="0" fontId="5" fillId="6" borderId="25" xfId="0" applyFont="1" applyFill="1" applyBorder="1" applyAlignment="1">
      <alignment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171" fontId="13" fillId="6" borderId="9" xfId="1" applyNumberFormat="1" applyFont="1" applyFill="1" applyBorder="1" applyAlignment="1">
      <alignment horizontal="right" vertical="center" wrapText="1"/>
    </xf>
    <xf numFmtId="0" fontId="14" fillId="6" borderId="38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174" fontId="12" fillId="6" borderId="0" xfId="1" applyNumberFormat="1" applyFont="1" applyFill="1" applyBorder="1" applyAlignment="1">
      <alignment horizontal="right" vertical="center" wrapText="1"/>
    </xf>
    <xf numFmtId="0" fontId="12" fillId="6" borderId="6" xfId="0" applyFont="1" applyFill="1" applyBorder="1" applyAlignment="1">
      <alignment horizontal="right" vertical="center" wrapText="1"/>
    </xf>
    <xf numFmtId="169" fontId="12" fillId="6" borderId="19" xfId="0" applyNumberFormat="1" applyFont="1" applyFill="1" applyBorder="1" applyAlignment="1">
      <alignment horizontal="right" vertical="center" wrapText="1"/>
    </xf>
    <xf numFmtId="169" fontId="12" fillId="6" borderId="32" xfId="1" applyNumberFormat="1" applyFont="1" applyFill="1" applyBorder="1" applyAlignment="1">
      <alignment horizontal="right" vertical="center" wrapText="1"/>
    </xf>
    <xf numFmtId="169" fontId="13" fillId="6" borderId="42" xfId="1" applyNumberFormat="1" applyFont="1" applyFill="1" applyBorder="1" applyAlignment="1">
      <alignment horizontal="right" vertical="center" wrapText="1"/>
    </xf>
    <xf numFmtId="171" fontId="12" fillId="6" borderId="9" xfId="0" applyNumberFormat="1" applyFont="1" applyFill="1" applyBorder="1" applyAlignment="1">
      <alignment horizontal="right" vertical="center" wrapText="1"/>
    </xf>
    <xf numFmtId="171" fontId="13" fillId="6" borderId="9" xfId="0" applyNumberFormat="1" applyFont="1" applyFill="1" applyBorder="1" applyAlignment="1">
      <alignment horizontal="right" vertical="center"/>
    </xf>
    <xf numFmtId="169" fontId="13" fillId="6" borderId="16" xfId="1" applyNumberFormat="1" applyFont="1" applyFill="1" applyBorder="1" applyAlignment="1">
      <alignment horizontal="right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172" fontId="12" fillId="6" borderId="23" xfId="0" applyNumberFormat="1" applyFont="1" applyFill="1" applyBorder="1" applyAlignment="1">
      <alignment horizontal="right" vertical="center" wrapText="1"/>
    </xf>
    <xf numFmtId="169" fontId="13" fillId="6" borderId="41" xfId="1" applyNumberFormat="1" applyFont="1" applyFill="1" applyBorder="1" applyAlignment="1">
      <alignment horizontal="right" vertical="center" wrapText="1"/>
    </xf>
    <xf numFmtId="172" fontId="12" fillId="6" borderId="18" xfId="0" applyNumberFormat="1" applyFont="1" applyFill="1" applyBorder="1" applyAlignment="1">
      <alignment horizontal="right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2" xfId="0" applyFont="1" applyFill="1" applyBorder="1" applyAlignment="1">
      <alignment horizontal="center" vertical="center" wrapText="1"/>
    </xf>
    <xf numFmtId="43" fontId="13" fillId="6" borderId="42" xfId="1" applyFont="1" applyFill="1" applyBorder="1" applyAlignment="1">
      <alignment horizontal="right" vertical="center" wrapText="1"/>
    </xf>
    <xf numFmtId="174" fontId="13" fillId="6" borderId="34" xfId="1" applyNumberFormat="1" applyFont="1" applyFill="1" applyBorder="1" applyAlignment="1">
      <alignment horizontal="right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172" fontId="12" fillId="6" borderId="7" xfId="0" applyNumberFormat="1" applyFont="1" applyFill="1" applyBorder="1" applyAlignment="1">
      <alignment horizontal="right" vertical="center" wrapText="1"/>
    </xf>
    <xf numFmtId="43" fontId="13" fillId="6" borderId="13" xfId="1" applyFont="1" applyFill="1" applyBorder="1" applyAlignment="1">
      <alignment horizontal="right" vertical="center" wrapText="1"/>
    </xf>
    <xf numFmtId="172" fontId="12" fillId="6" borderId="24" xfId="0" applyNumberFormat="1" applyFont="1" applyFill="1" applyBorder="1" applyAlignment="1">
      <alignment horizontal="right" vertical="center" wrapText="1"/>
    </xf>
    <xf numFmtId="43" fontId="13" fillId="6" borderId="35" xfId="1" applyFont="1" applyFill="1" applyBorder="1" applyAlignment="1">
      <alignment horizontal="right" vertical="center" wrapText="1"/>
    </xf>
    <xf numFmtId="173" fontId="12" fillId="6" borderId="36" xfId="0" applyNumberFormat="1" applyFont="1" applyFill="1" applyBorder="1" applyAlignment="1">
      <alignment horizontal="right" vertical="center" wrapText="1"/>
    </xf>
    <xf numFmtId="173" fontId="12" fillId="6" borderId="1" xfId="1" applyNumberFormat="1" applyFont="1" applyFill="1" applyBorder="1" applyAlignment="1">
      <alignment horizontal="right" vertical="center" wrapText="1"/>
    </xf>
    <xf numFmtId="173" fontId="12" fillId="6" borderId="6" xfId="0" applyNumberFormat="1" applyFont="1" applyFill="1" applyBorder="1" applyAlignment="1">
      <alignment horizontal="right" vertical="center" wrapText="1"/>
    </xf>
    <xf numFmtId="173" fontId="13" fillId="6" borderId="34" xfId="1" applyNumberFormat="1" applyFont="1" applyFill="1" applyBorder="1" applyAlignment="1">
      <alignment horizontal="right" vertical="center" wrapText="1"/>
    </xf>
    <xf numFmtId="0" fontId="13" fillId="6" borderId="34" xfId="0" applyFont="1" applyFill="1" applyBorder="1" applyAlignment="1">
      <alignment horizontal="right" vertical="center"/>
    </xf>
    <xf numFmtId="173" fontId="12" fillId="6" borderId="24" xfId="0" applyNumberFormat="1" applyFont="1" applyFill="1" applyBorder="1" applyAlignment="1">
      <alignment horizontal="right" vertical="center" wrapText="1"/>
    </xf>
    <xf numFmtId="173" fontId="13" fillId="6" borderId="35" xfId="1" applyNumberFormat="1" applyFont="1" applyFill="1" applyBorder="1" applyAlignment="1">
      <alignment horizontal="right" vertical="center" wrapText="1"/>
    </xf>
    <xf numFmtId="173" fontId="13" fillId="6" borderId="6" xfId="1" applyNumberFormat="1" applyFont="1" applyFill="1" applyBorder="1" applyAlignment="1">
      <alignment horizontal="right" vertical="center" wrapText="1"/>
    </xf>
    <xf numFmtId="43" fontId="13" fillId="6" borderId="29" xfId="1" applyFont="1" applyFill="1" applyBorder="1" applyAlignment="1">
      <alignment horizontal="right" vertical="center" wrapText="1"/>
    </xf>
    <xf numFmtId="173" fontId="13" fillId="6" borderId="42" xfId="1" applyNumberFormat="1" applyFont="1" applyFill="1" applyBorder="1" applyAlignment="1">
      <alignment horizontal="right" vertical="center" wrapText="1"/>
    </xf>
    <xf numFmtId="173" fontId="12" fillId="6" borderId="7" xfId="0" applyNumberFormat="1" applyFont="1" applyFill="1" applyBorder="1" applyAlignment="1">
      <alignment horizontal="right" vertical="center" wrapText="1"/>
    </xf>
    <xf numFmtId="174" fontId="13" fillId="6" borderId="1" xfId="1" applyNumberFormat="1" applyFont="1" applyFill="1" applyBorder="1" applyAlignment="1">
      <alignment horizontal="right" vertical="center" wrapText="1"/>
    </xf>
    <xf numFmtId="17" fontId="14" fillId="6" borderId="37" xfId="0" applyNumberFormat="1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center" vertical="center" wrapText="1"/>
    </xf>
    <xf numFmtId="49" fontId="14" fillId="6" borderId="49" xfId="0" applyNumberFormat="1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vertical="top" wrapText="1"/>
    </xf>
    <xf numFmtId="173" fontId="12" fillId="6" borderId="1" xfId="0" applyNumberFormat="1" applyFont="1" applyFill="1" applyBorder="1" applyAlignment="1">
      <alignment horizontal="right" vertical="center" wrapText="1"/>
    </xf>
    <xf numFmtId="0" fontId="4" fillId="6" borderId="17" xfId="0" applyFont="1" applyFill="1" applyBorder="1" applyAlignment="1">
      <alignment vertical="top" wrapText="1"/>
    </xf>
    <xf numFmtId="173" fontId="12" fillId="6" borderId="18" xfId="0" applyNumberFormat="1" applyFont="1" applyFill="1" applyBorder="1" applyAlignment="1">
      <alignment horizontal="right" vertical="center" wrapText="1"/>
    </xf>
    <xf numFmtId="174" fontId="12" fillId="6" borderId="38" xfId="1" applyNumberFormat="1" applyFont="1" applyFill="1" applyBorder="1" applyAlignment="1">
      <alignment horizontal="right" vertical="center" wrapText="1"/>
    </xf>
    <xf numFmtId="173" fontId="12" fillId="6" borderId="22" xfId="0" applyNumberFormat="1" applyFont="1" applyFill="1" applyBorder="1" applyAlignment="1">
      <alignment horizontal="right" vertical="center" wrapText="1"/>
    </xf>
    <xf numFmtId="43" fontId="13" fillId="6" borderId="22" xfId="1" applyFont="1" applyFill="1" applyBorder="1" applyAlignment="1">
      <alignment horizontal="right" vertical="center" wrapText="1"/>
    </xf>
    <xf numFmtId="171" fontId="12" fillId="6" borderId="23" xfId="0" applyNumberFormat="1" applyFont="1" applyFill="1" applyBorder="1" applyAlignment="1">
      <alignment horizontal="right" vertical="center" wrapText="1"/>
    </xf>
    <xf numFmtId="0" fontId="22" fillId="6" borderId="20" xfId="0" applyFont="1" applyFill="1" applyBorder="1" applyAlignment="1">
      <alignment horizontal="left" vertical="top" wrapText="1"/>
    </xf>
    <xf numFmtId="169" fontId="12" fillId="6" borderId="25" xfId="1" applyNumberFormat="1" applyFont="1" applyFill="1" applyBorder="1" applyAlignment="1">
      <alignment horizontal="right" vertical="center" wrapText="1"/>
    </xf>
    <xf numFmtId="169" fontId="12" fillId="6" borderId="18" xfId="1" applyNumberFormat="1" applyFont="1" applyFill="1" applyBorder="1" applyAlignment="1">
      <alignment horizontal="right" vertical="center" wrapText="1"/>
    </xf>
    <xf numFmtId="169" fontId="12" fillId="6" borderId="38" xfId="1" applyNumberFormat="1" applyFont="1" applyFill="1" applyBorder="1" applyAlignment="1">
      <alignment horizontal="right" vertical="center" wrapText="1"/>
    </xf>
    <xf numFmtId="174" fontId="12" fillId="6" borderId="24" xfId="1" applyNumberFormat="1" applyFont="1" applyFill="1" applyBorder="1" applyAlignment="1">
      <alignment horizontal="right" vertical="center" wrapText="1"/>
    </xf>
    <xf numFmtId="169" fontId="12" fillId="6" borderId="9" xfId="0" applyNumberFormat="1" applyFont="1" applyFill="1" applyBorder="1" applyAlignment="1">
      <alignment horizontal="right" vertical="center" wrapText="1"/>
    </xf>
    <xf numFmtId="171" fontId="12" fillId="6" borderId="19" xfId="1" applyNumberFormat="1" applyFont="1" applyFill="1" applyBorder="1" applyAlignment="1">
      <alignment horizontal="right" vertical="center" wrapText="1"/>
    </xf>
    <xf numFmtId="43" fontId="12" fillId="6" borderId="36" xfId="1" applyFont="1" applyFill="1" applyBorder="1" applyAlignment="1">
      <alignment horizontal="right" vertical="center" wrapText="1"/>
    </xf>
    <xf numFmtId="174" fontId="12" fillId="6" borderId="36" xfId="1" applyNumberFormat="1" applyFont="1" applyFill="1" applyBorder="1" applyAlignment="1">
      <alignment horizontal="right" vertical="center" wrapText="1"/>
    </xf>
    <xf numFmtId="174" fontId="12" fillId="6" borderId="20" xfId="1" applyNumberFormat="1" applyFont="1" applyFill="1" applyBorder="1" applyAlignment="1">
      <alignment horizontal="right" vertical="center" wrapText="1"/>
    </xf>
    <xf numFmtId="171" fontId="12" fillId="6" borderId="22" xfId="0" applyNumberFormat="1" applyFont="1" applyFill="1" applyBorder="1" applyAlignment="1">
      <alignment horizontal="right" vertical="center" wrapText="1"/>
    </xf>
    <xf numFmtId="43" fontId="13" fillId="6" borderId="24" xfId="1" applyFont="1" applyFill="1" applyBorder="1" applyAlignment="1">
      <alignment horizontal="right" vertical="center" wrapText="1"/>
    </xf>
    <xf numFmtId="43" fontId="12" fillId="6" borderId="20" xfId="1" applyFont="1" applyFill="1" applyBorder="1" applyAlignment="1">
      <alignment horizontal="right" vertical="center" wrapText="1"/>
    </xf>
    <xf numFmtId="43" fontId="13" fillId="6" borderId="52" xfId="1" applyFont="1" applyFill="1" applyBorder="1" applyAlignment="1">
      <alignment horizontal="right" vertical="center" wrapText="1"/>
    </xf>
    <xf numFmtId="43" fontId="13" fillId="6" borderId="46" xfId="1" applyFont="1" applyFill="1" applyBorder="1" applyAlignment="1">
      <alignment horizontal="right" vertical="center" wrapText="1"/>
    </xf>
    <xf numFmtId="43" fontId="13" fillId="6" borderId="54" xfId="1" applyFont="1" applyFill="1" applyBorder="1" applyAlignment="1">
      <alignment horizontal="right" vertical="center" wrapText="1"/>
    </xf>
    <xf numFmtId="0" fontId="5" fillId="6" borderId="18" xfId="0" applyFont="1" applyFill="1" applyBorder="1" applyAlignment="1">
      <alignment vertical="center" wrapText="1"/>
    </xf>
    <xf numFmtId="0" fontId="5" fillId="6" borderId="9" xfId="0" applyFont="1" applyFill="1" applyBorder="1" applyAlignment="1">
      <alignment vertical="center" wrapText="1"/>
    </xf>
    <xf numFmtId="0" fontId="5" fillId="6" borderId="36" xfId="0" applyFont="1" applyFill="1" applyBorder="1" applyAlignment="1">
      <alignment vertical="center" wrapText="1"/>
    </xf>
    <xf numFmtId="169" fontId="13" fillId="6" borderId="35" xfId="1" applyNumberFormat="1" applyFont="1" applyFill="1" applyBorder="1" applyAlignment="1">
      <alignment horizontal="right" vertical="center" wrapText="1"/>
    </xf>
    <xf numFmtId="0" fontId="14" fillId="6" borderId="37" xfId="0" applyFont="1" applyFill="1" applyBorder="1" applyAlignment="1">
      <alignment horizontal="left" vertical="center" wrapText="1"/>
    </xf>
    <xf numFmtId="169" fontId="12" fillId="6" borderId="21" xfId="0" applyNumberFormat="1" applyFont="1" applyFill="1" applyBorder="1" applyAlignment="1">
      <alignment horizontal="right" vertical="center" wrapText="1"/>
    </xf>
    <xf numFmtId="0" fontId="5" fillId="6" borderId="35" xfId="0" applyFont="1" applyFill="1" applyBorder="1" applyAlignment="1">
      <alignment vertical="center" wrapText="1"/>
    </xf>
    <xf numFmtId="169" fontId="12" fillId="6" borderId="17" xfId="0" applyNumberFormat="1" applyFont="1" applyFill="1" applyBorder="1" applyAlignment="1">
      <alignment horizontal="right" vertical="center" wrapText="1"/>
    </xf>
    <xf numFmtId="171" fontId="12" fillId="6" borderId="0" xfId="0" applyNumberFormat="1" applyFont="1" applyFill="1" applyBorder="1" applyAlignment="1">
      <alignment horizontal="right" vertical="center" wrapText="1"/>
    </xf>
    <xf numFmtId="171" fontId="12" fillId="6" borderId="36" xfId="1" applyNumberFormat="1" applyFont="1" applyFill="1" applyBorder="1" applyAlignment="1">
      <alignment horizontal="right" vertical="center" wrapText="1"/>
    </xf>
    <xf numFmtId="171" fontId="12" fillId="6" borderId="0" xfId="1" applyNumberFormat="1" applyFont="1" applyFill="1" applyBorder="1" applyAlignment="1">
      <alignment horizontal="right" vertical="center" wrapText="1"/>
    </xf>
    <xf numFmtId="171" fontId="12" fillId="6" borderId="22" xfId="1" applyNumberFormat="1" applyFont="1" applyFill="1" applyBorder="1" applyAlignment="1">
      <alignment horizontal="right" vertical="center" wrapText="1"/>
    </xf>
    <xf numFmtId="171" fontId="12" fillId="6" borderId="15" xfId="1" applyNumberFormat="1" applyFont="1" applyFill="1" applyBorder="1" applyAlignment="1">
      <alignment horizontal="right" vertical="center" wrapText="1"/>
    </xf>
    <xf numFmtId="171" fontId="12" fillId="6" borderId="7" xfId="1" applyNumberFormat="1" applyFont="1" applyFill="1" applyBorder="1" applyAlignment="1">
      <alignment horizontal="right" vertical="center" wrapText="1"/>
    </xf>
    <xf numFmtId="171" fontId="12" fillId="6" borderId="21" xfId="1" applyNumberFormat="1" applyFont="1" applyFill="1" applyBorder="1" applyAlignment="1">
      <alignment horizontal="right" vertical="center" wrapText="1"/>
    </xf>
    <xf numFmtId="171" fontId="12" fillId="6" borderId="24" xfId="1" applyNumberFormat="1" applyFont="1" applyFill="1" applyBorder="1" applyAlignment="1">
      <alignment horizontal="right" vertical="center" wrapText="1"/>
    </xf>
    <xf numFmtId="171" fontId="12" fillId="6" borderId="1" xfId="0" applyNumberFormat="1" applyFont="1" applyFill="1" applyBorder="1" applyAlignment="1">
      <alignment horizontal="right" vertical="center"/>
    </xf>
    <xf numFmtId="171" fontId="12" fillId="6" borderId="11" xfId="0" applyNumberFormat="1" applyFont="1" applyFill="1" applyBorder="1" applyAlignment="1">
      <alignment horizontal="right" vertical="center" wrapText="1"/>
    </xf>
    <xf numFmtId="171" fontId="13" fillId="6" borderId="58" xfId="0" applyNumberFormat="1" applyFont="1" applyFill="1" applyBorder="1" applyAlignment="1">
      <alignment horizontal="right" vertical="center"/>
    </xf>
    <xf numFmtId="171" fontId="13" fillId="6" borderId="14" xfId="0" applyNumberFormat="1" applyFont="1" applyFill="1" applyBorder="1" applyAlignment="1">
      <alignment horizontal="right" vertical="center"/>
    </xf>
    <xf numFmtId="171" fontId="13" fillId="6" borderId="59" xfId="0" applyNumberFormat="1" applyFont="1" applyFill="1" applyBorder="1" applyAlignment="1">
      <alignment horizontal="right" vertical="center"/>
    </xf>
    <xf numFmtId="0" fontId="14" fillId="6" borderId="20" xfId="0" applyFont="1" applyFill="1" applyBorder="1" applyAlignment="1">
      <alignment vertical="center" wrapText="1"/>
    </xf>
    <xf numFmtId="171" fontId="12" fillId="6" borderId="48" xfId="0" applyNumberFormat="1" applyFont="1" applyFill="1" applyBorder="1" applyAlignment="1">
      <alignment horizontal="right" vertical="center" wrapText="1"/>
    </xf>
    <xf numFmtId="171" fontId="12" fillId="6" borderId="20" xfId="1" applyNumberFormat="1" applyFont="1" applyFill="1" applyBorder="1" applyAlignment="1">
      <alignment horizontal="right" vertical="center" wrapText="1"/>
    </xf>
    <xf numFmtId="171" fontId="15" fillId="6" borderId="34" xfId="0" applyNumberFormat="1" applyFont="1" applyFill="1" applyBorder="1" applyAlignment="1">
      <alignment vertical="center" wrapText="1"/>
    </xf>
    <xf numFmtId="171" fontId="5" fillId="6" borderId="22" xfId="0" applyNumberFormat="1" applyFont="1" applyFill="1" applyBorder="1" applyAlignment="1">
      <alignment vertical="center" wrapText="1"/>
    </xf>
    <xf numFmtId="171" fontId="5" fillId="6" borderId="22" xfId="0" applyNumberFormat="1" applyFont="1" applyFill="1" applyBorder="1" applyAlignment="1">
      <alignment horizontal="center" vertical="center" wrapText="1"/>
    </xf>
    <xf numFmtId="171" fontId="5" fillId="6" borderId="6" xfId="0" applyNumberFormat="1" applyFont="1" applyFill="1" applyBorder="1" applyAlignment="1">
      <alignment horizontal="center" vertical="center" wrapText="1"/>
    </xf>
    <xf numFmtId="171" fontId="5" fillId="6" borderId="42" xfId="0" applyNumberFormat="1" applyFont="1" applyFill="1" applyBorder="1" applyAlignment="1">
      <alignment horizontal="center" vertical="center" wrapText="1"/>
    </xf>
    <xf numFmtId="171" fontId="15" fillId="6" borderId="13" xfId="0" applyNumberFormat="1" applyFont="1" applyFill="1" applyBorder="1" applyAlignment="1">
      <alignment vertical="center" wrapText="1"/>
    </xf>
    <xf numFmtId="171" fontId="5" fillId="6" borderId="15" xfId="0" applyNumberFormat="1" applyFont="1" applyFill="1" applyBorder="1" applyAlignment="1">
      <alignment vertical="center" wrapText="1"/>
    </xf>
    <xf numFmtId="171" fontId="5" fillId="6" borderId="15" xfId="0" applyNumberFormat="1" applyFont="1" applyFill="1" applyBorder="1" applyAlignment="1">
      <alignment horizontal="center" vertical="center" wrapText="1"/>
    </xf>
    <xf numFmtId="171" fontId="5" fillId="6" borderId="7" xfId="0" applyNumberFormat="1" applyFont="1" applyFill="1" applyBorder="1" applyAlignment="1">
      <alignment horizontal="center" vertical="center" wrapText="1"/>
    </xf>
    <xf numFmtId="171" fontId="5" fillId="6" borderId="16" xfId="0" applyNumberFormat="1" applyFont="1" applyFill="1" applyBorder="1" applyAlignment="1">
      <alignment horizontal="center" vertical="center" wrapText="1"/>
    </xf>
    <xf numFmtId="171" fontId="15" fillId="6" borderId="35" xfId="0" applyNumberFormat="1" applyFont="1" applyFill="1" applyBorder="1" applyAlignment="1">
      <alignment vertical="center" wrapText="1"/>
    </xf>
    <xf numFmtId="171" fontId="5" fillId="6" borderId="23" xfId="0" applyNumberFormat="1" applyFont="1" applyFill="1" applyBorder="1" applyAlignment="1">
      <alignment vertical="center" wrapText="1"/>
    </xf>
    <xf numFmtId="171" fontId="5" fillId="6" borderId="23" xfId="0" applyNumberFormat="1" applyFont="1" applyFill="1" applyBorder="1" applyAlignment="1">
      <alignment horizontal="center" vertical="center" wrapText="1"/>
    </xf>
    <xf numFmtId="171" fontId="5" fillId="6" borderId="24" xfId="0" applyNumberFormat="1" applyFont="1" applyFill="1" applyBorder="1" applyAlignment="1">
      <alignment horizontal="center" vertical="center" wrapText="1"/>
    </xf>
    <xf numFmtId="171" fontId="5" fillId="6" borderId="41" xfId="0" applyNumberFormat="1" applyFont="1" applyFill="1" applyBorder="1" applyAlignment="1">
      <alignment horizontal="center" vertical="center" wrapText="1"/>
    </xf>
    <xf numFmtId="169" fontId="12" fillId="6" borderId="18" xfId="0" applyNumberFormat="1" applyFont="1" applyFill="1" applyBorder="1" applyAlignment="1">
      <alignment horizontal="right" vertical="center" wrapText="1"/>
    </xf>
    <xf numFmtId="174" fontId="11" fillId="6" borderId="5" xfId="1" applyNumberFormat="1" applyFont="1" applyFill="1" applyBorder="1" applyAlignment="1">
      <alignment horizontal="right" vertical="center" wrapText="1"/>
    </xf>
    <xf numFmtId="0" fontId="14" fillId="6" borderId="31" xfId="0" applyFont="1" applyFill="1" applyBorder="1" applyAlignment="1">
      <alignment vertical="center" wrapText="1"/>
    </xf>
    <xf numFmtId="0" fontId="4" fillId="6" borderId="40" xfId="0" applyFont="1" applyFill="1" applyBorder="1" applyAlignment="1">
      <alignment horizontal="center" vertical="center" wrapText="1"/>
    </xf>
    <xf numFmtId="169" fontId="12" fillId="6" borderId="33" xfId="1" applyNumberFormat="1" applyFont="1" applyFill="1" applyBorder="1" applyAlignment="1">
      <alignment horizontal="right" vertical="center" wrapText="1"/>
    </xf>
    <xf numFmtId="0" fontId="15" fillId="6" borderId="34" xfId="0" applyFont="1" applyFill="1" applyBorder="1" applyAlignment="1">
      <alignment vertical="center" wrapText="1"/>
    </xf>
    <xf numFmtId="0" fontId="15" fillId="6" borderId="13" xfId="0" applyFont="1" applyFill="1" applyBorder="1" applyAlignment="1">
      <alignment vertical="center" wrapText="1"/>
    </xf>
    <xf numFmtId="0" fontId="15" fillId="6" borderId="35" xfId="0" applyFont="1" applyFill="1" applyBorder="1" applyAlignment="1">
      <alignment vertical="center" wrapText="1"/>
    </xf>
    <xf numFmtId="174" fontId="12" fillId="6" borderId="33" xfId="1" applyNumberFormat="1" applyFont="1" applyFill="1" applyBorder="1" applyAlignment="1">
      <alignment horizontal="right" vertical="center" wrapText="1"/>
    </xf>
    <xf numFmtId="171" fontId="12" fillId="6" borderId="42" xfId="0" applyNumberFormat="1" applyFont="1" applyFill="1" applyBorder="1" applyAlignment="1">
      <alignment horizontal="right" vertical="center" wrapText="1"/>
    </xf>
    <xf numFmtId="171" fontId="12" fillId="6" borderId="16" xfId="0" applyNumberFormat="1" applyFont="1" applyFill="1" applyBorder="1" applyAlignment="1">
      <alignment horizontal="right" vertical="center" wrapText="1"/>
    </xf>
    <xf numFmtId="171" fontId="12" fillId="6" borderId="25" xfId="1" applyNumberFormat="1" applyFont="1" applyFill="1" applyBorder="1" applyAlignment="1">
      <alignment horizontal="right" vertical="center" wrapText="1"/>
    </xf>
    <xf numFmtId="171" fontId="13" fillId="6" borderId="51" xfId="1" applyNumberFormat="1" applyFont="1" applyFill="1" applyBorder="1" applyAlignment="1">
      <alignment horizontal="right" vertical="center" wrapText="1"/>
    </xf>
    <xf numFmtId="171" fontId="13" fillId="6" borderId="4" xfId="1" applyNumberFormat="1" applyFont="1" applyFill="1" applyBorder="1" applyAlignment="1">
      <alignment horizontal="right" vertical="center" wrapText="1"/>
    </xf>
    <xf numFmtId="171" fontId="13" fillId="6" borderId="53" xfId="1" applyNumberFormat="1" applyFont="1" applyFill="1" applyBorder="1" applyAlignment="1">
      <alignment horizontal="right" vertical="center" wrapText="1"/>
    </xf>
    <xf numFmtId="174" fontId="12" fillId="6" borderId="49" xfId="1" applyNumberFormat="1" applyFont="1" applyFill="1" applyBorder="1" applyAlignment="1">
      <alignment horizontal="right" vertical="center" wrapText="1"/>
    </xf>
    <xf numFmtId="164" fontId="12" fillId="6" borderId="32" xfId="0" applyNumberFormat="1" applyFont="1" applyFill="1" applyBorder="1" applyAlignment="1">
      <alignment horizontal="right" vertical="center" wrapText="1"/>
    </xf>
    <xf numFmtId="174" fontId="12" fillId="6" borderId="25" xfId="1" applyNumberFormat="1" applyFont="1" applyFill="1" applyBorder="1" applyAlignment="1">
      <alignment horizontal="right" vertical="center" wrapText="1"/>
    </xf>
    <xf numFmtId="43" fontId="13" fillId="6" borderId="60" xfId="1" applyFont="1" applyFill="1" applyBorder="1" applyAlignment="1">
      <alignment horizontal="right" vertical="center" wrapText="1"/>
    </xf>
    <xf numFmtId="164" fontId="12" fillId="6" borderId="7" xfId="0" applyNumberFormat="1" applyFont="1" applyFill="1" applyBorder="1" applyAlignment="1">
      <alignment horizontal="right" vertical="center" wrapText="1"/>
    </xf>
    <xf numFmtId="174" fontId="13" fillId="6" borderId="5" xfId="1" applyNumberFormat="1" applyFont="1" applyFill="1" applyBorder="1" applyAlignment="1">
      <alignment horizontal="right" vertical="center" wrapText="1"/>
    </xf>
    <xf numFmtId="164" fontId="12" fillId="6" borderId="9" xfId="0" applyNumberFormat="1" applyFont="1" applyFill="1" applyBorder="1" applyAlignment="1">
      <alignment horizontal="right" vertical="center" wrapText="1"/>
    </xf>
    <xf numFmtId="174" fontId="13" fillId="6" borderId="61" xfId="1" applyNumberFormat="1" applyFont="1" applyFill="1" applyBorder="1" applyAlignment="1">
      <alignment horizontal="right" vertical="center" wrapText="1"/>
    </xf>
    <xf numFmtId="164" fontId="12" fillId="6" borderId="16" xfId="0" applyNumberFormat="1" applyFont="1" applyFill="1" applyBorder="1" applyAlignment="1">
      <alignment horizontal="right" vertical="center" wrapText="1"/>
    </xf>
    <xf numFmtId="164" fontId="12" fillId="6" borderId="41" xfId="0" applyNumberFormat="1" applyFont="1" applyFill="1" applyBorder="1" applyAlignment="1">
      <alignment horizontal="right" vertical="center" wrapText="1"/>
    </xf>
    <xf numFmtId="0" fontId="4" fillId="6" borderId="64" xfId="0" applyFont="1" applyFill="1" applyBorder="1" applyAlignment="1">
      <alignment horizontal="center" vertical="center" wrapText="1"/>
    </xf>
    <xf numFmtId="171" fontId="12" fillId="6" borderId="3" xfId="0" applyNumberFormat="1" applyFont="1" applyFill="1" applyBorder="1" applyAlignment="1">
      <alignment horizontal="right" vertical="center" wrapText="1"/>
    </xf>
    <xf numFmtId="171" fontId="12" fillId="6" borderId="3" xfId="1" applyNumberFormat="1" applyFont="1" applyFill="1" applyBorder="1" applyAlignment="1">
      <alignment horizontal="right" vertical="center" wrapText="1"/>
    </xf>
    <xf numFmtId="0" fontId="12" fillId="6" borderId="44" xfId="0" applyFont="1" applyFill="1" applyBorder="1" applyAlignment="1">
      <alignment horizontal="right" vertical="center" wrapText="1"/>
    </xf>
    <xf numFmtId="164" fontId="12" fillId="6" borderId="50" xfId="0" applyNumberFormat="1" applyFont="1" applyFill="1" applyBorder="1" applyAlignment="1">
      <alignment horizontal="right" vertical="center" wrapText="1"/>
    </xf>
    <xf numFmtId="0" fontId="4" fillId="6" borderId="63" xfId="0" applyFont="1" applyFill="1" applyBorder="1" applyAlignment="1">
      <alignment horizontal="center" vertical="center" wrapText="1"/>
    </xf>
    <xf numFmtId="164" fontId="12" fillId="6" borderId="40" xfId="0" applyNumberFormat="1" applyFont="1" applyFill="1" applyBorder="1" applyAlignment="1">
      <alignment horizontal="right" vertical="center" wrapText="1"/>
    </xf>
    <xf numFmtId="174" fontId="12" fillId="6" borderId="3" xfId="1" applyNumberFormat="1" applyFont="1" applyFill="1" applyBorder="1" applyAlignment="1">
      <alignment horizontal="right" vertical="center" wrapText="1"/>
    </xf>
    <xf numFmtId="171" fontId="13" fillId="6" borderId="60" xfId="1" applyNumberFormat="1" applyFont="1" applyFill="1" applyBorder="1" applyAlignment="1">
      <alignment horizontal="right" vertical="center" wrapText="1"/>
    </xf>
    <xf numFmtId="171" fontId="13" fillId="6" borderId="61" xfId="1" applyNumberFormat="1" applyFont="1" applyFill="1" applyBorder="1" applyAlignment="1">
      <alignment horizontal="right" vertical="center" wrapText="1"/>
    </xf>
    <xf numFmtId="43" fontId="12" fillId="6" borderId="3" xfId="1" applyFont="1" applyFill="1" applyBorder="1" applyAlignment="1">
      <alignment horizontal="right" vertical="center" wrapText="1"/>
    </xf>
    <xf numFmtId="0" fontId="12" fillId="6" borderId="55" xfId="0" applyFont="1" applyFill="1" applyBorder="1" applyAlignment="1">
      <alignment horizontal="right" vertical="center" wrapText="1"/>
    </xf>
    <xf numFmtId="43" fontId="13" fillId="6" borderId="51" xfId="1" applyFont="1" applyFill="1" applyBorder="1" applyAlignment="1">
      <alignment horizontal="right" vertical="center" wrapText="1"/>
    </xf>
    <xf numFmtId="164" fontId="12" fillId="6" borderId="5" xfId="0" applyNumberFormat="1" applyFont="1" applyFill="1" applyBorder="1" applyAlignment="1">
      <alignment horizontal="right" vertical="center" wrapText="1"/>
    </xf>
    <xf numFmtId="174" fontId="13" fillId="6" borderId="4" xfId="1" applyNumberFormat="1" applyFont="1" applyFill="1" applyBorder="1" applyAlignment="1">
      <alignment horizontal="right" vertical="center" wrapText="1"/>
    </xf>
    <xf numFmtId="43" fontId="13" fillId="6" borderId="4" xfId="1" applyFont="1" applyFill="1" applyBorder="1" applyAlignment="1">
      <alignment horizontal="right" vertical="center" wrapText="1"/>
    </xf>
    <xf numFmtId="164" fontId="12" fillId="6" borderId="56" xfId="0" applyNumberFormat="1" applyFont="1" applyFill="1" applyBorder="1" applyAlignment="1">
      <alignment horizontal="right" vertical="center" wrapText="1"/>
    </xf>
    <xf numFmtId="174" fontId="13" fillId="6" borderId="53" xfId="1" applyNumberFormat="1" applyFont="1" applyFill="1" applyBorder="1" applyAlignment="1">
      <alignment horizontal="right" vertical="center" wrapText="1"/>
    </xf>
    <xf numFmtId="43" fontId="13" fillId="6" borderId="53" xfId="1" applyFont="1" applyFill="1" applyBorder="1" applyAlignment="1">
      <alignment horizontal="right" vertical="center" wrapText="1"/>
    </xf>
    <xf numFmtId="43" fontId="13" fillId="6" borderId="55" xfId="1" applyFont="1" applyFill="1" applyBorder="1" applyAlignment="1">
      <alignment horizontal="right" vertical="center" wrapText="1"/>
    </xf>
    <xf numFmtId="164" fontId="12" fillId="6" borderId="24" xfId="0" applyNumberFormat="1" applyFont="1" applyFill="1" applyBorder="1" applyAlignment="1">
      <alignment horizontal="right" vertical="center" wrapText="1"/>
    </xf>
    <xf numFmtId="174" fontId="13" fillId="6" borderId="56" xfId="1" applyNumberFormat="1" applyFont="1" applyFill="1" applyBorder="1" applyAlignment="1">
      <alignment horizontal="right" vertical="center" wrapText="1"/>
    </xf>
    <xf numFmtId="171" fontId="12" fillId="6" borderId="30" xfId="0" applyNumberFormat="1" applyFont="1" applyFill="1" applyBorder="1" applyAlignment="1">
      <alignment horizontal="right" vertical="center" wrapText="1"/>
    </xf>
    <xf numFmtId="171" fontId="12" fillId="6" borderId="44" xfId="0" applyNumberFormat="1" applyFont="1" applyFill="1" applyBorder="1" applyAlignment="1">
      <alignment horizontal="right" vertical="center" wrapText="1"/>
    </xf>
    <xf numFmtId="171" fontId="12" fillId="6" borderId="50" xfId="0" applyNumberFormat="1" applyFont="1" applyFill="1" applyBorder="1" applyAlignment="1">
      <alignment horizontal="right" vertical="center" wrapText="1"/>
    </xf>
    <xf numFmtId="171" fontId="12" fillId="6" borderId="40" xfId="1" applyNumberFormat="1" applyFont="1" applyFill="1" applyBorder="1" applyAlignment="1">
      <alignment horizontal="right" vertical="center" wrapText="1"/>
    </xf>
    <xf numFmtId="171" fontId="12" fillId="6" borderId="40" xfId="0" applyNumberFormat="1" applyFont="1" applyFill="1" applyBorder="1" applyAlignment="1">
      <alignment horizontal="right" vertical="center" wrapText="1"/>
    </xf>
    <xf numFmtId="171" fontId="12" fillId="6" borderId="12" xfId="1" applyNumberFormat="1" applyFont="1" applyFill="1" applyBorder="1" applyAlignment="1">
      <alignment horizontal="right" vertical="center" wrapText="1"/>
    </xf>
    <xf numFmtId="171" fontId="12" fillId="6" borderId="30" xfId="1" applyNumberFormat="1" applyFont="1" applyFill="1" applyBorder="1" applyAlignment="1">
      <alignment horizontal="right" vertical="center" wrapText="1"/>
    </xf>
    <xf numFmtId="171" fontId="13" fillId="6" borderId="45" xfId="1" applyNumberFormat="1" applyFont="1" applyFill="1" applyBorder="1" applyAlignment="1">
      <alignment horizontal="right" vertical="center" wrapText="1"/>
    </xf>
    <xf numFmtId="171" fontId="13" fillId="6" borderId="46" xfId="1" applyNumberFormat="1" applyFont="1" applyFill="1" applyBorder="1" applyAlignment="1">
      <alignment horizontal="right" vertical="center" wrapText="1"/>
    </xf>
    <xf numFmtId="171" fontId="13" fillId="6" borderId="47" xfId="1" applyNumberFormat="1" applyFont="1" applyFill="1" applyBorder="1" applyAlignment="1">
      <alignment horizontal="right" vertical="center" wrapText="1"/>
    </xf>
    <xf numFmtId="174" fontId="13" fillId="6" borderId="51" xfId="1" applyNumberFormat="1" applyFont="1" applyFill="1" applyBorder="1" applyAlignment="1">
      <alignment horizontal="right" vertical="center" wrapText="1"/>
    </xf>
    <xf numFmtId="164" fontId="12" fillId="6" borderId="31" xfId="0" applyNumberFormat="1" applyFont="1" applyFill="1" applyBorder="1" applyAlignment="1">
      <alignment horizontal="right" vertical="center" wrapText="1"/>
    </xf>
    <xf numFmtId="43" fontId="12" fillId="6" borderId="1" xfId="1" applyFont="1" applyFill="1" applyBorder="1" applyAlignment="1">
      <alignment horizontal="right" vertical="center" wrapText="1"/>
    </xf>
    <xf numFmtId="0" fontId="12" fillId="6" borderId="60" xfId="0" applyFont="1" applyFill="1" applyBorder="1" applyAlignment="1">
      <alignment horizontal="right" vertical="center" wrapText="1"/>
    </xf>
    <xf numFmtId="43" fontId="13" fillId="6" borderId="45" xfId="1" applyFont="1" applyFill="1" applyBorder="1" applyAlignment="1">
      <alignment horizontal="right" vertical="center" wrapText="1"/>
    </xf>
    <xf numFmtId="164" fontId="12" fillId="6" borderId="61" xfId="0" applyNumberFormat="1" applyFont="1" applyFill="1" applyBorder="1" applyAlignment="1">
      <alignment horizontal="right" vertical="center" wrapText="1"/>
    </xf>
    <xf numFmtId="43" fontId="13" fillId="6" borderId="47" xfId="1" applyFont="1" applyFill="1" applyBorder="1" applyAlignment="1">
      <alignment horizontal="right" vertical="center" wrapText="1"/>
    </xf>
    <xf numFmtId="43" fontId="13" fillId="6" borderId="61" xfId="1" applyFont="1" applyFill="1" applyBorder="1" applyAlignment="1">
      <alignment horizontal="right" vertical="center" wrapText="1"/>
    </xf>
    <xf numFmtId="171" fontId="13" fillId="6" borderId="32" xfId="1" applyNumberFormat="1" applyFont="1" applyFill="1" applyBorder="1" applyAlignment="1">
      <alignment horizontal="right" vertical="center" wrapText="1"/>
    </xf>
    <xf numFmtId="171" fontId="13" fillId="6" borderId="31" xfId="1" applyNumberFormat="1" applyFont="1" applyFill="1" applyBorder="1" applyAlignment="1">
      <alignment horizontal="right" vertical="center" wrapText="1"/>
    </xf>
    <xf numFmtId="171" fontId="13" fillId="6" borderId="44" xfId="1" applyNumberFormat="1" applyFont="1" applyFill="1" applyBorder="1" applyAlignment="1">
      <alignment horizontal="right" vertical="center" wrapText="1"/>
    </xf>
    <xf numFmtId="0" fontId="4" fillId="6" borderId="19" xfId="0" applyFont="1" applyFill="1" applyBorder="1" applyAlignment="1">
      <alignment vertical="center" wrapText="1"/>
    </xf>
    <xf numFmtId="164" fontId="12" fillId="6" borderId="43" xfId="0" applyNumberFormat="1" applyFont="1" applyFill="1" applyBorder="1" applyAlignment="1">
      <alignment horizontal="right" vertical="center" wrapText="1"/>
    </xf>
    <xf numFmtId="43" fontId="12" fillId="6" borderId="39" xfId="1" applyFont="1" applyFill="1" applyBorder="1" applyAlignment="1">
      <alignment horizontal="right" vertical="center" wrapText="1"/>
    </xf>
    <xf numFmtId="0" fontId="5" fillId="6" borderId="17" xfId="0" applyFont="1" applyFill="1" applyBorder="1" applyAlignment="1">
      <alignment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vertical="center" wrapText="1"/>
    </xf>
    <xf numFmtId="171" fontId="12" fillId="6" borderId="49" xfId="0" applyNumberFormat="1" applyFont="1" applyFill="1" applyBorder="1" applyAlignment="1">
      <alignment horizontal="right" vertical="center" wrapText="1"/>
    </xf>
    <xf numFmtId="171" fontId="13" fillId="6" borderId="18" xfId="1" applyNumberFormat="1" applyFont="1" applyFill="1" applyBorder="1" applyAlignment="1">
      <alignment horizontal="right" vertical="center" wrapText="1"/>
    </xf>
    <xf numFmtId="171" fontId="13" fillId="6" borderId="49" xfId="1" applyNumberFormat="1" applyFont="1" applyFill="1" applyBorder="1" applyAlignment="1">
      <alignment horizontal="right" vertical="center" wrapText="1"/>
    </xf>
    <xf numFmtId="171" fontId="12" fillId="6" borderId="41" xfId="0" applyNumberFormat="1" applyFont="1" applyFill="1" applyBorder="1" applyAlignment="1">
      <alignment horizontal="right" vertical="center" wrapText="1"/>
    </xf>
    <xf numFmtId="164" fontId="12" fillId="6" borderId="48" xfId="0" applyNumberFormat="1" applyFont="1" applyFill="1" applyBorder="1" applyAlignment="1">
      <alignment horizontal="right" vertical="center" wrapText="1"/>
    </xf>
    <xf numFmtId="43" fontId="12" fillId="6" borderId="19" xfId="1" applyFont="1" applyFill="1" applyBorder="1" applyAlignment="1">
      <alignment horizontal="right" vertical="center" wrapText="1"/>
    </xf>
    <xf numFmtId="174" fontId="12" fillId="6" borderId="16" xfId="0" applyNumberFormat="1" applyFont="1" applyFill="1" applyBorder="1" applyAlignment="1">
      <alignment horizontal="right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14" fillId="6" borderId="55" xfId="0" applyFont="1" applyFill="1" applyBorder="1" applyAlignment="1">
      <alignment horizontal="left" vertical="center" wrapText="1"/>
    </xf>
    <xf numFmtId="171" fontId="12" fillId="6" borderId="43" xfId="0" applyNumberFormat="1" applyFont="1" applyFill="1" applyBorder="1" applyAlignment="1">
      <alignment horizontal="right" vertical="center" wrapText="1"/>
    </xf>
    <xf numFmtId="171" fontId="12" fillId="6" borderId="66" xfId="1" applyNumberFormat="1" applyFont="1" applyFill="1" applyBorder="1" applyAlignment="1">
      <alignment horizontal="right" vertical="center" wrapText="1"/>
    </xf>
    <xf numFmtId="0" fontId="14" fillId="6" borderId="33" xfId="0" applyFont="1" applyFill="1" applyBorder="1" applyAlignment="1">
      <alignment horizontal="left" vertical="center" wrapText="1"/>
    </xf>
    <xf numFmtId="171" fontId="12" fillId="6" borderId="32" xfId="1" applyNumberFormat="1" applyFont="1" applyFill="1" applyBorder="1" applyAlignment="1">
      <alignment horizontal="right" vertical="center" wrapText="1"/>
    </xf>
    <xf numFmtId="0" fontId="15" fillId="6" borderId="28" xfId="0" applyFont="1" applyFill="1" applyBorder="1" applyAlignment="1">
      <alignment horizontal="left" vertical="center" wrapText="1"/>
    </xf>
    <xf numFmtId="0" fontId="15" fillId="6" borderId="15" xfId="0" applyFont="1" applyFill="1" applyBorder="1" applyAlignment="1">
      <alignment horizontal="left" vertical="center" wrapText="1"/>
    </xf>
    <xf numFmtId="0" fontId="15" fillId="6" borderId="21" xfId="0" applyFont="1" applyFill="1" applyBorder="1" applyAlignment="1">
      <alignment horizontal="left" vertical="center" wrapText="1"/>
    </xf>
    <xf numFmtId="17" fontId="14" fillId="6" borderId="65" xfId="0" applyNumberFormat="1" applyFont="1" applyFill="1" applyBorder="1" applyAlignment="1">
      <alignment horizontal="left" vertical="center" wrapText="1"/>
    </xf>
    <xf numFmtId="0" fontId="5" fillId="6" borderId="49" xfId="0" applyFont="1" applyFill="1" applyBorder="1" applyAlignment="1">
      <alignment horizontal="center" vertical="center" wrapText="1"/>
    </xf>
    <xf numFmtId="171" fontId="12" fillId="6" borderId="25" xfId="0" applyNumberFormat="1" applyFont="1" applyFill="1" applyBorder="1" applyAlignment="1">
      <alignment horizontal="right" vertical="center" wrapText="1"/>
    </xf>
    <xf numFmtId="17" fontId="14" fillId="6" borderId="14" xfId="0" applyNumberFormat="1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vertical="center" wrapText="1"/>
    </xf>
    <xf numFmtId="0" fontId="22" fillId="6" borderId="31" xfId="0" applyFont="1" applyFill="1" applyBorder="1" applyAlignment="1">
      <alignment vertical="top" wrapText="1"/>
    </xf>
    <xf numFmtId="43" fontId="12" fillId="6" borderId="32" xfId="0" applyNumberFormat="1" applyFont="1" applyFill="1" applyBorder="1" applyAlignment="1">
      <alignment horizontal="right" vertical="center" wrapText="1"/>
    </xf>
    <xf numFmtId="43" fontId="12" fillId="6" borderId="18" xfId="1" applyFont="1" applyFill="1" applyBorder="1" applyAlignment="1">
      <alignment horizontal="right" vertical="center" wrapText="1"/>
    </xf>
    <xf numFmtId="43" fontId="12" fillId="6" borderId="15" xfId="0" applyNumberFormat="1" applyFont="1" applyFill="1" applyBorder="1" applyAlignment="1">
      <alignment horizontal="right" vertical="center" wrapText="1"/>
    </xf>
    <xf numFmtId="174" fontId="12" fillId="6" borderId="15" xfId="1" applyNumberFormat="1" applyFont="1" applyFill="1" applyBorder="1" applyAlignment="1">
      <alignment horizontal="right" vertical="center" wrapText="1"/>
    </xf>
    <xf numFmtId="43" fontId="12" fillId="6" borderId="23" xfId="0" applyNumberFormat="1" applyFont="1" applyFill="1" applyBorder="1" applyAlignment="1">
      <alignment horizontal="right" vertical="center" wrapText="1"/>
    </xf>
    <xf numFmtId="174" fontId="12" fillId="6" borderId="23" xfId="1" applyNumberFormat="1" applyFont="1" applyFill="1" applyBorder="1" applyAlignment="1">
      <alignment horizontal="right" vertical="center" wrapText="1"/>
    </xf>
    <xf numFmtId="174" fontId="12" fillId="6" borderId="43" xfId="0" applyNumberFormat="1" applyFont="1" applyFill="1" applyBorder="1" applyAlignment="1">
      <alignment horizontal="right" vertical="center" wrapText="1"/>
    </xf>
    <xf numFmtId="0" fontId="5" fillId="6" borderId="5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56" xfId="0" applyFont="1" applyFill="1" applyBorder="1" applyAlignment="1">
      <alignment horizontal="center" vertical="center" wrapText="1"/>
    </xf>
    <xf numFmtId="171" fontId="12" fillId="6" borderId="57" xfId="1" applyNumberFormat="1" applyFont="1" applyFill="1" applyBorder="1" applyAlignment="1">
      <alignment horizontal="right" vertical="center" wrapText="1"/>
    </xf>
    <xf numFmtId="17" fontId="14" fillId="6" borderId="20" xfId="0" applyNumberFormat="1" applyFont="1" applyFill="1" applyBorder="1" applyAlignment="1">
      <alignment horizontal="left" vertical="center" wrapText="1"/>
    </xf>
    <xf numFmtId="174" fontId="12" fillId="6" borderId="41" xfId="0" applyNumberFormat="1" applyFont="1" applyFill="1" applyBorder="1" applyAlignment="1">
      <alignment horizontal="right" vertical="center" wrapText="1"/>
    </xf>
    <xf numFmtId="0" fontId="14" fillId="6" borderId="40" xfId="0" applyFont="1" applyFill="1" applyBorder="1" applyAlignment="1">
      <alignment horizontal="left" vertical="center" wrapText="1"/>
    </xf>
    <xf numFmtId="174" fontId="12" fillId="6" borderId="50" xfId="0" applyNumberFormat="1" applyFont="1" applyFill="1" applyBorder="1" applyAlignment="1">
      <alignment horizontal="right" vertical="center" wrapText="1"/>
    </xf>
    <xf numFmtId="0" fontId="4" fillId="6" borderId="62" xfId="0" applyFont="1" applyFill="1" applyBorder="1" applyAlignment="1">
      <alignment horizontal="center" vertical="center" wrapText="1"/>
    </xf>
    <xf numFmtId="174" fontId="12" fillId="6" borderId="40" xfId="0" applyNumberFormat="1" applyFont="1" applyFill="1" applyBorder="1" applyAlignment="1">
      <alignment horizontal="right" vertical="center" wrapText="1"/>
    </xf>
    <xf numFmtId="174" fontId="12" fillId="6" borderId="9" xfId="0" applyNumberFormat="1" applyFont="1" applyFill="1" applyBorder="1" applyAlignment="1">
      <alignment horizontal="right" vertical="center" wrapText="1"/>
    </xf>
    <xf numFmtId="17" fontId="14" fillId="6" borderId="31" xfId="0" applyNumberFormat="1" applyFont="1" applyFill="1" applyBorder="1" applyAlignment="1">
      <alignment horizontal="left" vertical="center" wrapText="1"/>
    </xf>
    <xf numFmtId="174" fontId="12" fillId="6" borderId="65" xfId="0" applyNumberFormat="1" applyFont="1" applyFill="1" applyBorder="1" applyAlignment="1">
      <alignment horizontal="right" vertical="center" wrapText="1"/>
    </xf>
    <xf numFmtId="171" fontId="12" fillId="6" borderId="19" xfId="0" applyNumberFormat="1" applyFont="1" applyFill="1" applyBorder="1" applyAlignment="1">
      <alignment horizontal="right" vertical="center" wrapText="1"/>
    </xf>
    <xf numFmtId="0" fontId="5" fillId="6" borderId="40" xfId="0" applyFont="1" applyFill="1" applyBorder="1" applyAlignment="1">
      <alignment horizontal="center" vertical="center" wrapText="1"/>
    </xf>
    <xf numFmtId="171" fontId="12" fillId="6" borderId="65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horizontal="center" vertical="center" wrapText="1"/>
    </xf>
    <xf numFmtId="43" fontId="7" fillId="4" borderId="0" xfId="1" applyFont="1" applyFill="1" applyBorder="1" applyAlignment="1">
      <alignment horizontal="center" vertical="center" wrapText="1"/>
    </xf>
    <xf numFmtId="43" fontId="7" fillId="5" borderId="0" xfId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center" vertical="center" wrapText="1"/>
    </xf>
    <xf numFmtId="0" fontId="15" fillId="2" borderId="44" xfId="0" applyFont="1" applyFill="1" applyBorder="1" applyAlignment="1">
      <alignment horizontal="right" wrapText="1"/>
    </xf>
    <xf numFmtId="0" fontId="5" fillId="6" borderId="0" xfId="0" applyFont="1" applyFill="1" applyAlignment="1">
      <alignment horizontal="right" vertical="center"/>
    </xf>
    <xf numFmtId="0" fontId="19" fillId="6" borderId="0" xfId="0" applyFont="1" applyFill="1" applyAlignment="1">
      <alignment horizontal="right" vertical="center"/>
    </xf>
    <xf numFmtId="0" fontId="19" fillId="6" borderId="0" xfId="0" applyFont="1" applyFill="1" applyAlignment="1">
      <alignment horizontal="right" wrapText="1"/>
    </xf>
    <xf numFmtId="0" fontId="19" fillId="6" borderId="0" xfId="0" applyFont="1" applyFill="1" applyAlignment="1">
      <alignment horizontal="right"/>
    </xf>
    <xf numFmtId="0" fontId="20" fillId="6" borderId="48" xfId="0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 wrapText="1"/>
    </xf>
    <xf numFmtId="0" fontId="20" fillId="6" borderId="19" xfId="0" applyFont="1" applyFill="1" applyBorder="1" applyAlignment="1">
      <alignment horizontal="center" vertical="center" wrapText="1"/>
    </xf>
    <xf numFmtId="0" fontId="20" fillId="6" borderId="38" xfId="0" applyFont="1" applyFill="1" applyBorder="1" applyAlignment="1">
      <alignment horizontal="center" vertical="center" wrapText="1"/>
    </xf>
    <xf numFmtId="0" fontId="20" fillId="6" borderId="37" xfId="0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center" vertical="center" wrapText="1"/>
    </xf>
    <xf numFmtId="0" fontId="20" fillId="6" borderId="21" xfId="0" applyFont="1" applyFill="1" applyBorder="1" applyAlignment="1">
      <alignment horizontal="center" vertical="center" wrapText="1"/>
    </xf>
    <xf numFmtId="0" fontId="20" fillId="6" borderId="25" xfId="0" applyFont="1" applyFill="1" applyBorder="1" applyAlignment="1">
      <alignment horizontal="center" vertical="center" wrapText="1"/>
    </xf>
    <xf numFmtId="0" fontId="20" fillId="6" borderId="40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33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FF00"/>
      <color rgb="FFFF00FF"/>
      <color rgb="FFFF6600"/>
      <color rgb="FF26B429"/>
      <color rgb="FFFF66FF"/>
      <color rgb="FF145C16"/>
      <color rgb="FF030383"/>
      <color rgb="FF4C5F2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%20&#1088;&#1072;&#1073;&#1086;&#1095;&#1077;&#1075;&#1086;%20&#1089;&#1090;&#1086;&#1083;&#1072;%2002.10.2023/&#1040;&#1048;&#1055;%20&#1085;&#1072;%202024-2028%20&#1075;&#1075;/&#1042;&#1085;&#1077;&#1089;&#1077;&#1085;&#1080;&#1077;%20&#1080;&#1079;&#1084;&#1077;&#1085;&#1077;&#1085;&#1080;&#1081;%20&#1074;%20&#1040;&#1048;&#1055;%20-%2006.07.2024/&#1056;&#1091;&#1082;&#1086;&#1074;&#1086;&#1076;&#1089;&#1090;&#1074;&#1086;/&#1057;&#1090;&#1077;&#1087;&#1072;&#1085;&#1086;&#1074;%20&#1040;.&#1042;/&#1052;&#1040;&#1048;&#1055;_2017-2021/2021/&#1042;&#1085;&#1077;&#1089;&#1077;&#1085;&#1080;&#1077;%20&#1080;&#1079;&#1084;&#1077;&#1085;&#1077;&#1085;&#1080;&#1081;%2009.2021/&#1052;&#1040;&#1048;&#1055;%20&#1075;.&#1054;&#1088;&#1083;&#1072;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8.02.2020"/>
      <sheetName val="14.04.2020"/>
      <sheetName val="22.04.2020"/>
      <sheetName val="26.05.2020"/>
      <sheetName val="29.05.2020"/>
      <sheetName val="10.06.2020"/>
      <sheetName val="25.06.2020"/>
      <sheetName val="19.10.2020"/>
      <sheetName val="11.11.2020"/>
      <sheetName val="25.02.2021"/>
      <sheetName val="01.04.2021"/>
      <sheetName val="15.06.2021"/>
      <sheetName val="15.09.2021(дороги)"/>
      <sheetName val="15.09.202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59">
          <cell r="J59">
            <v>3291</v>
          </cell>
        </row>
        <row r="62">
          <cell r="J62">
            <v>3126.45</v>
          </cell>
        </row>
        <row r="63">
          <cell r="J63">
            <v>164.55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447"/>
  <sheetViews>
    <sheetView tabSelected="1" zoomScale="30" zoomScaleNormal="30" zoomScaleSheetLayoutView="30" zoomScalePageLayoutView="30" workbookViewId="0">
      <pane xSplit="5" ySplit="15" topLeftCell="F428" activePane="bottomRight" state="frozen"/>
      <selection pane="topRight" activeCell="F1" sqref="F1"/>
      <selection pane="bottomLeft" activeCell="A16" sqref="A16"/>
      <selection pane="bottomRight" activeCell="D443" sqref="D443"/>
    </sheetView>
  </sheetViews>
  <sheetFormatPr defaultRowHeight="25.2" x14ac:dyDescent="0.3"/>
  <cols>
    <col min="1" max="1" width="19.88671875" style="22" customWidth="1"/>
    <col min="2" max="2" width="15.6640625" style="6" customWidth="1"/>
    <col min="3" max="3" width="173" style="7" customWidth="1"/>
    <col min="4" max="4" width="42.5546875" style="22" customWidth="1"/>
    <col min="5" max="5" width="30.77734375" style="22" customWidth="1"/>
    <col min="6" max="6" width="33.33203125" style="22" customWidth="1"/>
    <col min="7" max="7" width="39.33203125" style="98" customWidth="1"/>
    <col min="8" max="8" width="38" style="35" customWidth="1"/>
    <col min="9" max="9" width="42.44140625" style="97" customWidth="1"/>
    <col min="10" max="10" width="35.77734375" style="97" customWidth="1"/>
    <col min="11" max="11" width="40.44140625" style="97" customWidth="1"/>
    <col min="12" max="12" width="35.77734375" style="97" customWidth="1"/>
    <col min="13" max="13" width="38.21875" style="97" customWidth="1"/>
    <col min="14" max="14" width="41.88671875" style="97" customWidth="1"/>
    <col min="15" max="15" width="33.21875" style="97" customWidth="1"/>
    <col min="16" max="16" width="40.5546875" style="97" customWidth="1"/>
    <col min="17" max="17" width="33.44140625" style="97" customWidth="1"/>
    <col min="18" max="18" width="43.21875" style="97" customWidth="1"/>
    <col min="19" max="19" width="32.6640625" style="97" customWidth="1"/>
    <col min="20" max="20" width="34.109375" style="97" customWidth="1"/>
    <col min="21" max="21" width="33.5546875" style="97" customWidth="1"/>
    <col min="22" max="22" width="30.44140625" style="22" customWidth="1"/>
    <col min="23" max="23" width="26.44140625" style="22" customWidth="1"/>
    <col min="24" max="16384" width="8.88671875" style="22"/>
  </cols>
  <sheetData>
    <row r="1" spans="2:21" ht="34.200000000000003" customHeight="1" x14ac:dyDescent="0.3">
      <c r="B1" s="105"/>
      <c r="C1" s="106"/>
      <c r="D1" s="107"/>
      <c r="E1" s="107"/>
      <c r="F1" s="107"/>
      <c r="G1" s="108"/>
      <c r="H1" s="109"/>
      <c r="I1" s="110"/>
      <c r="J1" s="575" t="s">
        <v>138</v>
      </c>
      <c r="K1" s="575"/>
      <c r="L1" s="575"/>
      <c r="M1" s="575"/>
    </row>
    <row r="2" spans="2:21" ht="106.8" customHeight="1" x14ac:dyDescent="0.45">
      <c r="B2" s="105"/>
      <c r="C2" s="106"/>
      <c r="D2" s="107"/>
      <c r="E2" s="107"/>
      <c r="F2" s="107"/>
      <c r="G2" s="108"/>
      <c r="H2" s="109"/>
      <c r="I2" s="110"/>
      <c r="J2" s="576" t="s">
        <v>137</v>
      </c>
      <c r="K2" s="577"/>
      <c r="L2" s="577"/>
      <c r="M2" s="577"/>
    </row>
    <row r="3" spans="2:21" ht="63.6" hidden="1" customHeight="1" x14ac:dyDescent="0.3">
      <c r="B3" s="105"/>
      <c r="C3" s="106"/>
      <c r="D3" s="107"/>
      <c r="E3" s="107"/>
      <c r="F3" s="107"/>
      <c r="G3" s="108"/>
      <c r="H3" s="109"/>
      <c r="I3" s="110"/>
      <c r="J3" s="575"/>
      <c r="K3" s="575"/>
      <c r="L3" s="575"/>
      <c r="M3" s="575"/>
    </row>
    <row r="4" spans="2:21" ht="55.8" customHeight="1" x14ac:dyDescent="0.3">
      <c r="B4" s="105"/>
      <c r="C4" s="106"/>
      <c r="D4" s="107"/>
      <c r="E4" s="107"/>
      <c r="F4" s="107"/>
      <c r="G4" s="108"/>
      <c r="H4" s="109"/>
      <c r="I4" s="108"/>
      <c r="J4" s="575" t="s">
        <v>116</v>
      </c>
      <c r="K4" s="575"/>
      <c r="L4" s="575"/>
      <c r="M4" s="575"/>
      <c r="N4" s="104">
        <f>H24+H84+H184+H229+H395</f>
        <v>3768658.4882807145</v>
      </c>
    </row>
    <row r="5" spans="2:21" ht="6" hidden="1" customHeight="1" x14ac:dyDescent="0.3">
      <c r="B5" s="105"/>
      <c r="C5" s="106"/>
      <c r="D5" s="107"/>
      <c r="E5" s="107"/>
      <c r="F5" s="107"/>
      <c r="G5" s="108"/>
      <c r="H5" s="109"/>
      <c r="I5" s="110"/>
      <c r="J5" s="110"/>
      <c r="K5" s="110"/>
      <c r="L5" s="110"/>
      <c r="M5" s="110"/>
    </row>
    <row r="6" spans="2:21" ht="2.4" hidden="1" customHeight="1" x14ac:dyDescent="0.3">
      <c r="B6" s="105"/>
      <c r="C6" s="106"/>
      <c r="D6" s="107"/>
      <c r="E6" s="107"/>
      <c r="F6" s="107"/>
      <c r="G6" s="108"/>
      <c r="H6" s="109"/>
      <c r="I6" s="110"/>
      <c r="J6" s="574"/>
      <c r="K6" s="574"/>
      <c r="L6" s="574"/>
      <c r="M6" s="574"/>
    </row>
    <row r="7" spans="2:21" hidden="1" x14ac:dyDescent="0.3">
      <c r="B7" s="105"/>
      <c r="C7" s="106"/>
      <c r="D7" s="107"/>
      <c r="E7" s="107"/>
      <c r="F7" s="107"/>
      <c r="G7" s="108"/>
      <c r="H7" s="109"/>
      <c r="I7" s="110"/>
      <c r="J7" s="574"/>
      <c r="K7" s="574"/>
      <c r="L7" s="574"/>
      <c r="M7" s="574"/>
    </row>
    <row r="8" spans="2:21" hidden="1" x14ac:dyDescent="0.3">
      <c r="B8" s="105"/>
      <c r="C8" s="106"/>
      <c r="D8" s="107"/>
      <c r="E8" s="107"/>
      <c r="F8" s="107"/>
      <c r="G8" s="108"/>
      <c r="H8" s="109"/>
      <c r="I8" s="110"/>
      <c r="J8" s="574"/>
      <c r="K8" s="574"/>
      <c r="L8" s="574"/>
      <c r="M8" s="574"/>
    </row>
    <row r="9" spans="2:21" hidden="1" x14ac:dyDescent="0.3">
      <c r="B9" s="105"/>
      <c r="C9" s="106"/>
      <c r="D9" s="107"/>
      <c r="E9" s="107"/>
      <c r="F9" s="107"/>
      <c r="G9" s="108"/>
      <c r="H9" s="109"/>
      <c r="I9" s="110"/>
      <c r="J9" s="574"/>
      <c r="K9" s="574"/>
      <c r="L9" s="574"/>
      <c r="M9" s="574"/>
    </row>
    <row r="10" spans="2:21" ht="4.2" customHeight="1" x14ac:dyDescent="0.3">
      <c r="B10" s="105"/>
      <c r="C10" s="106"/>
      <c r="D10" s="107"/>
      <c r="E10" s="107"/>
      <c r="F10" s="107"/>
      <c r="G10" s="108"/>
      <c r="H10" s="109"/>
      <c r="I10" s="110"/>
      <c r="J10" s="110"/>
      <c r="K10" s="110"/>
      <c r="L10" s="110"/>
      <c r="M10" s="110"/>
    </row>
    <row r="11" spans="2:21" ht="61.8" customHeight="1" thickBot="1" x14ac:dyDescent="0.35">
      <c r="B11" s="578" t="s">
        <v>135</v>
      </c>
      <c r="C11" s="578"/>
      <c r="D11" s="578"/>
      <c r="E11" s="578"/>
      <c r="F11" s="578"/>
      <c r="G11" s="578"/>
      <c r="H11" s="578"/>
      <c r="I11" s="578"/>
      <c r="J11" s="578"/>
      <c r="K11" s="578"/>
      <c r="L11" s="578"/>
      <c r="M11" s="578"/>
      <c r="N11" s="36"/>
      <c r="O11" s="35"/>
    </row>
    <row r="12" spans="2:21" ht="42.6" customHeight="1" thickBot="1" x14ac:dyDescent="0.35">
      <c r="B12" s="579" t="s">
        <v>20</v>
      </c>
      <c r="C12" s="581" t="s">
        <v>18</v>
      </c>
      <c r="D12" s="583" t="s">
        <v>26</v>
      </c>
      <c r="E12" s="585" t="s">
        <v>23</v>
      </c>
      <c r="F12" s="581"/>
      <c r="G12" s="579" t="s">
        <v>22</v>
      </c>
      <c r="H12" s="579" t="s">
        <v>21</v>
      </c>
      <c r="I12" s="586" t="s">
        <v>19</v>
      </c>
      <c r="J12" s="587"/>
      <c r="K12" s="588"/>
      <c r="L12" s="588"/>
      <c r="M12" s="589"/>
      <c r="N12" s="37"/>
      <c r="O12" s="13"/>
      <c r="P12" s="97">
        <v>2022</v>
      </c>
      <c r="Q12" s="97">
        <v>2023</v>
      </c>
      <c r="R12" s="97">
        <v>2024</v>
      </c>
      <c r="S12" s="97">
        <v>2025</v>
      </c>
      <c r="T12" s="97">
        <v>2026</v>
      </c>
    </row>
    <row r="13" spans="2:21" ht="109.2" customHeight="1" thickBot="1" x14ac:dyDescent="0.35">
      <c r="B13" s="580"/>
      <c r="C13" s="582"/>
      <c r="D13" s="584"/>
      <c r="E13" s="111" t="s">
        <v>24</v>
      </c>
      <c r="F13" s="111" t="s">
        <v>25</v>
      </c>
      <c r="G13" s="580"/>
      <c r="H13" s="580"/>
      <c r="I13" s="111">
        <v>2024</v>
      </c>
      <c r="J13" s="111">
        <v>2025</v>
      </c>
      <c r="K13" s="111">
        <v>2026</v>
      </c>
      <c r="L13" s="111">
        <v>2027</v>
      </c>
      <c r="M13" s="111">
        <v>2028</v>
      </c>
      <c r="N13" s="37"/>
      <c r="O13" s="13"/>
    </row>
    <row r="14" spans="2:21" s="98" customFormat="1" ht="30.6" customHeight="1" thickBot="1" x14ac:dyDescent="0.35">
      <c r="B14" s="112">
        <v>1</v>
      </c>
      <c r="C14" s="113">
        <v>2</v>
      </c>
      <c r="D14" s="114">
        <v>3</v>
      </c>
      <c r="E14" s="112">
        <v>4</v>
      </c>
      <c r="F14" s="115">
        <v>5</v>
      </c>
      <c r="G14" s="116">
        <v>6</v>
      </c>
      <c r="H14" s="116">
        <v>7</v>
      </c>
      <c r="I14" s="116">
        <v>8</v>
      </c>
      <c r="J14" s="116">
        <v>9</v>
      </c>
      <c r="K14" s="114">
        <v>10</v>
      </c>
      <c r="L14" s="114">
        <v>11</v>
      </c>
      <c r="M14" s="117">
        <v>12</v>
      </c>
      <c r="N14" s="37"/>
      <c r="O14" s="13" t="s">
        <v>5</v>
      </c>
      <c r="P14" s="97"/>
      <c r="Q14" s="97"/>
      <c r="R14" s="97"/>
      <c r="S14" s="97"/>
      <c r="T14" s="97"/>
      <c r="U14" s="97"/>
    </row>
    <row r="15" spans="2:21" ht="103.8" customHeight="1" thickBot="1" x14ac:dyDescent="0.35">
      <c r="B15" s="118">
        <v>1</v>
      </c>
      <c r="C15" s="119" t="s">
        <v>136</v>
      </c>
      <c r="D15" s="120"/>
      <c r="E15" s="112">
        <v>2024</v>
      </c>
      <c r="F15" s="112">
        <v>2028</v>
      </c>
      <c r="G15" s="121" t="s">
        <v>161</v>
      </c>
      <c r="H15" s="122">
        <f>I15+J15+K15+L15+M15</f>
        <v>17201293.077002037</v>
      </c>
      <c r="I15" s="123">
        <f>SUM(I17:I19)</f>
        <v>1875254.97557</v>
      </c>
      <c r="J15" s="124">
        <f>SUM(J17:J19)</f>
        <v>2313561.5591934691</v>
      </c>
      <c r="K15" s="123">
        <f>SUM(K17:K19)</f>
        <v>3093732.9622385683</v>
      </c>
      <c r="L15" s="124">
        <f>SUM(L17:L19)</f>
        <v>2409009.08</v>
      </c>
      <c r="M15" s="123">
        <f>SUM(M17:M19)</f>
        <v>7509734.4999999991</v>
      </c>
      <c r="N15" s="38">
        <v>149053.9351</v>
      </c>
      <c r="O15" s="14">
        <f>SUM(I15:M15)</f>
        <v>17201293.077002037</v>
      </c>
      <c r="P15" s="23" t="e">
        <f>#REF!+#REF!+#REF!+#REF!+#REF!+#REF!+#REF!</f>
        <v>#REF!</v>
      </c>
      <c r="Q15" s="23" t="e">
        <f>#REF!+#REF!+#REF!+#REF!+#REF!+#REF!+#REF!</f>
        <v>#REF!</v>
      </c>
      <c r="R15" s="23" t="e">
        <f>I21+I81+I181+I226+#REF!+#REF!+I392</f>
        <v>#REF!</v>
      </c>
      <c r="S15" s="23" t="e">
        <f>J21+J81+J181+J226+#REF!+#REF!+J392</f>
        <v>#REF!</v>
      </c>
      <c r="T15" s="23" t="e">
        <f>M21+M81+M181+M226+#REF!+#REF!+M392</f>
        <v>#REF!</v>
      </c>
      <c r="U15" s="23" t="e">
        <f>#REF!+#REF!+#REF!+#REF!</f>
        <v>#REF!</v>
      </c>
    </row>
    <row r="16" spans="2:21" ht="40.049999999999997" customHeight="1" thickBot="1" x14ac:dyDescent="0.35">
      <c r="B16" s="118">
        <v>2</v>
      </c>
      <c r="C16" s="125" t="s">
        <v>0</v>
      </c>
      <c r="D16" s="126"/>
      <c r="E16" s="127"/>
      <c r="F16" s="127"/>
      <c r="G16" s="128"/>
      <c r="H16" s="129"/>
      <c r="I16" s="130"/>
      <c r="J16" s="131"/>
      <c r="K16" s="131"/>
      <c r="L16" s="131"/>
      <c r="M16" s="131"/>
      <c r="N16" s="10"/>
      <c r="O16" s="24"/>
      <c r="P16" s="24"/>
      <c r="Q16" s="24"/>
      <c r="R16" s="24"/>
      <c r="S16" s="24"/>
      <c r="T16" s="24"/>
      <c r="U16" s="23" t="e">
        <f>#REF!+#REF!+#REF!+#REF!</f>
        <v>#REF!</v>
      </c>
    </row>
    <row r="17" spans="2:21" ht="40.049999999999997" customHeight="1" thickBot="1" x14ac:dyDescent="0.35">
      <c r="B17" s="118">
        <v>3</v>
      </c>
      <c r="C17" s="132" t="s">
        <v>1</v>
      </c>
      <c r="D17" s="133"/>
      <c r="E17" s="134"/>
      <c r="F17" s="134"/>
      <c r="G17" s="135"/>
      <c r="H17" s="136">
        <f>I17+J17+K17+L17+M17</f>
        <v>12988611.832603475</v>
      </c>
      <c r="I17" s="137">
        <f t="shared" ref="I17:M19" si="0">I23+I83+I183+I228+I394</f>
        <v>1148144.2150300001</v>
      </c>
      <c r="J17" s="137">
        <f t="shared" si="0"/>
        <v>1706691.5829700341</v>
      </c>
      <c r="K17" s="137">
        <f t="shared" si="0"/>
        <v>2795108.2371471394</v>
      </c>
      <c r="L17" s="137">
        <f t="shared" si="0"/>
        <v>988984.78</v>
      </c>
      <c r="M17" s="137">
        <f t="shared" si="0"/>
        <v>6349683.0174563015</v>
      </c>
      <c r="N17" s="10"/>
      <c r="O17" s="14">
        <f>SUM(I17:M17)</f>
        <v>12988611.832603475</v>
      </c>
      <c r="P17" s="23" t="e">
        <f>#REF!+#REF!+#REF!+#REF!+#REF!+#REF!+#REF!</f>
        <v>#REF!</v>
      </c>
      <c r="Q17" s="23" t="e">
        <f>#REF!+#REF!+#REF!+#REF!+#REF!+#REF!+#REF!</f>
        <v>#REF!</v>
      </c>
      <c r="R17" s="23" t="e">
        <f>I23+I83+I183+I228+#REF!+#REF!+I394</f>
        <v>#REF!</v>
      </c>
      <c r="S17" s="23" t="e">
        <f>J23+J83+J183+J228+#REF!+#REF!+J394</f>
        <v>#REF!</v>
      </c>
      <c r="T17" s="23" t="e">
        <f>M23+M83+M183+M228+#REF!+#REF!+M394</f>
        <v>#REF!</v>
      </c>
      <c r="U17" s="23" t="e">
        <f>#REF!+#REF!+#REF!+#REF!</f>
        <v>#REF!</v>
      </c>
    </row>
    <row r="18" spans="2:21" ht="40.049999999999997" customHeight="1" thickBot="1" x14ac:dyDescent="0.35">
      <c r="B18" s="118">
        <v>4</v>
      </c>
      <c r="C18" s="138" t="s">
        <v>2</v>
      </c>
      <c r="D18" s="133"/>
      <c r="E18" s="134"/>
      <c r="F18" s="134"/>
      <c r="G18" s="139"/>
      <c r="H18" s="136">
        <f>I18+J18+K18+L18+M18</f>
        <v>3768658.4882807145</v>
      </c>
      <c r="I18" s="137">
        <f t="shared" si="0"/>
        <v>574538.75401046604</v>
      </c>
      <c r="J18" s="137">
        <f t="shared" si="0"/>
        <v>547522.18325654033</v>
      </c>
      <c r="K18" s="137">
        <f t="shared" si="0"/>
        <v>202996.74049142882</v>
      </c>
      <c r="L18" s="137">
        <f t="shared" si="0"/>
        <v>1376815.3499999999</v>
      </c>
      <c r="M18" s="137">
        <f t="shared" si="0"/>
        <v>1066785.4605222789</v>
      </c>
      <c r="N18" s="10"/>
      <c r="O18" s="14">
        <f>SUM(I18:M18)</f>
        <v>3768658.4882807145</v>
      </c>
      <c r="P18" s="23" t="e">
        <f>#REF!+#REF!+#REF!+#REF!+#REF!+#REF!+#REF!</f>
        <v>#REF!</v>
      </c>
      <c r="Q18" s="23" t="e">
        <f>#REF!+#REF!+#REF!+#REF!+#REF!+#REF!+#REF!</f>
        <v>#REF!</v>
      </c>
      <c r="R18" s="23" t="e">
        <f>I24+I84+I184+I229+#REF!+#REF!+I395</f>
        <v>#REF!</v>
      </c>
      <c r="S18" s="23" t="e">
        <f>J24+J84+J184+J229+#REF!+#REF!+J395</f>
        <v>#REF!</v>
      </c>
      <c r="T18" s="23" t="e">
        <f>M24+M84+M184+M229+#REF!+#REF!+M395</f>
        <v>#REF!</v>
      </c>
      <c r="U18" s="23" t="e">
        <f>#REF!+#REF!+#REF!+#REF!</f>
        <v>#REF!</v>
      </c>
    </row>
    <row r="19" spans="2:21" ht="40.049999999999997" customHeight="1" thickBot="1" x14ac:dyDescent="0.35">
      <c r="B19" s="118">
        <v>5</v>
      </c>
      <c r="C19" s="132" t="s">
        <v>3</v>
      </c>
      <c r="D19" s="133"/>
      <c r="E19" s="134"/>
      <c r="F19" s="134"/>
      <c r="G19" s="139"/>
      <c r="H19" s="140">
        <f>I19+J19+K19+L19+M19</f>
        <v>444022.75611784786</v>
      </c>
      <c r="I19" s="137">
        <f t="shared" si="0"/>
        <v>152572.006529534</v>
      </c>
      <c r="J19" s="137">
        <f t="shared" si="0"/>
        <v>59347.792966894995</v>
      </c>
      <c r="K19" s="137">
        <f t="shared" si="0"/>
        <v>95627.984600000011</v>
      </c>
      <c r="L19" s="137">
        <f t="shared" si="0"/>
        <v>43208.95</v>
      </c>
      <c r="M19" s="137">
        <f t="shared" si="0"/>
        <v>93266.022021418874</v>
      </c>
      <c r="N19" s="10"/>
      <c r="O19" s="14">
        <f>SUM(I19:M19)</f>
        <v>444022.75611784786</v>
      </c>
      <c r="P19" s="23" t="e">
        <f>#REF!+#REF!+#REF!+#REF!+#REF!+#REF!+#REF!</f>
        <v>#REF!</v>
      </c>
      <c r="Q19" s="23" t="e">
        <f>#REF!+#REF!+#REF!+#REF!+#REF!+#REF!+#REF!</f>
        <v>#REF!</v>
      </c>
      <c r="R19" s="23" t="e">
        <f>I25+I85+I185+I230+#REF!+#REF!+I396</f>
        <v>#REF!</v>
      </c>
      <c r="S19" s="23" t="e">
        <f>J25+J85+J185+J230+#REF!+#REF!+J396</f>
        <v>#REF!</v>
      </c>
      <c r="T19" s="23" t="e">
        <f>M25+M85+M185+M230+#REF!+#REF!+M396</f>
        <v>#REF!</v>
      </c>
      <c r="U19" s="23" t="e">
        <f>#REF!+#REF!+#REF!+#REF!</f>
        <v>#REF!</v>
      </c>
    </row>
    <row r="20" spans="2:21" ht="39" customHeight="1" thickBot="1" x14ac:dyDescent="0.35">
      <c r="B20" s="118">
        <v>6</v>
      </c>
      <c r="C20" s="141" t="s">
        <v>4</v>
      </c>
      <c r="D20" s="142"/>
      <c r="E20" s="121"/>
      <c r="F20" s="143"/>
      <c r="G20" s="121"/>
      <c r="H20" s="144"/>
      <c r="I20" s="145"/>
      <c r="J20" s="146"/>
      <c r="K20" s="145"/>
      <c r="L20" s="146"/>
      <c r="M20" s="145"/>
      <c r="N20" s="50"/>
      <c r="O20" s="15" t="e">
        <f>#REF!-O21</f>
        <v>#REF!</v>
      </c>
      <c r="P20" s="15" t="e">
        <f>#REF!-P21</f>
        <v>#REF!</v>
      </c>
      <c r="Q20" s="15" t="e">
        <f>I21-Q21</f>
        <v>#REF!</v>
      </c>
      <c r="R20" s="15" t="e">
        <f>J21-R21</f>
        <v>#REF!</v>
      </c>
      <c r="S20" s="15" t="e">
        <f>M21-S21</f>
        <v>#REF!</v>
      </c>
      <c r="T20" s="15" t="e">
        <f>#REF!-T21</f>
        <v>#REF!</v>
      </c>
    </row>
    <row r="21" spans="2:21" ht="108.6" customHeight="1" thickBot="1" x14ac:dyDescent="0.35">
      <c r="B21" s="118">
        <v>7</v>
      </c>
      <c r="C21" s="147" t="s">
        <v>27</v>
      </c>
      <c r="D21" s="148"/>
      <c r="E21" s="149"/>
      <c r="F21" s="112"/>
      <c r="G21" s="150" t="s">
        <v>76</v>
      </c>
      <c r="H21" s="151">
        <f>I21+J21+K21+L21+M21</f>
        <v>3016589.5686400002</v>
      </c>
      <c r="I21" s="152">
        <f>SUM(I23:I25)</f>
        <v>434079.48469000001</v>
      </c>
      <c r="J21" s="152">
        <f>SUM(J23:J25)</f>
        <v>884276.87395000004</v>
      </c>
      <c r="K21" s="152">
        <f>SUM(K23:K25)</f>
        <v>118233.20999999999</v>
      </c>
      <c r="L21" s="152">
        <f>SUM(L23:L25)</f>
        <v>980000</v>
      </c>
      <c r="M21" s="152">
        <f>SUM(M23:M25)</f>
        <v>600000</v>
      </c>
      <c r="N21" s="10"/>
      <c r="O21" s="15" t="e">
        <f>#REF!+#REF!+#REF!+#REF!+#REF!+#REF!+#REF!+#REF!+#REF!+#REF!+#REF!+#REF!+#REF!+#REF!+#REF!+#REF!+#REF!+#REF!+#REF!+#REF!+#REF!+#REF!+#REF!</f>
        <v>#REF!</v>
      </c>
      <c r="P21" s="15" t="e">
        <f>#REF!+#REF!+#REF!+#REF!+#REF!+#REF!+#REF!+#REF!+#REF!+#REF!+#REF!+#REF!+#REF!+#REF!+#REF!+#REF!+#REF!+#REF!+#REF!+#REF!+#REF!+#REF!</f>
        <v>#REF!</v>
      </c>
      <c r="Q21" s="15" t="e">
        <f>I26+I31+#REF!+#REF!+I36+#REF!+I41+#REF!+I46+#REF!+#REF!+#REF!+I51+#REF!+#REF!+#REF!+#REF!+#REF!+I61+#REF!+I66+#REF!+#REF!</f>
        <v>#REF!</v>
      </c>
      <c r="R21" s="15" t="e">
        <f>J26+J31+#REF!+#REF!+J36+#REF!+J41+#REF!+J46+#REF!+#REF!+#REF!+J51+#REF!+#REF!+#REF!+#REF!+#REF!+J61+#REF!+J66+#REF!+#REF!</f>
        <v>#REF!</v>
      </c>
      <c r="S21" s="15" t="e">
        <f>M26+M31+#REF!+#REF!+M36+#REF!+M41+#REF!+M46+#REF!+#REF!+#REF!+M51+#REF!+#REF!+#REF!+#REF!+#REF!+M61+#REF!+M66+#REF!+#REF!</f>
        <v>#REF!</v>
      </c>
      <c r="T21" s="15"/>
    </row>
    <row r="22" spans="2:21" ht="40.049999999999997" customHeight="1" thickBot="1" x14ac:dyDescent="0.35">
      <c r="B22" s="118">
        <v>8</v>
      </c>
      <c r="C22" s="125" t="s">
        <v>0</v>
      </c>
      <c r="D22" s="153"/>
      <c r="E22" s="127"/>
      <c r="F22" s="127"/>
      <c r="G22" s="127"/>
      <c r="H22" s="154"/>
      <c r="I22" s="155"/>
      <c r="J22" s="155"/>
      <c r="K22" s="131"/>
      <c r="L22" s="131"/>
      <c r="M22" s="131"/>
      <c r="N22" s="50"/>
      <c r="O22" s="16"/>
      <c r="P22" s="23"/>
      <c r="Q22" s="23"/>
      <c r="R22" s="23"/>
    </row>
    <row r="23" spans="2:21" ht="40.049999999999997" customHeight="1" thickBot="1" x14ac:dyDescent="0.35">
      <c r="B23" s="118">
        <v>9</v>
      </c>
      <c r="C23" s="132" t="s">
        <v>1</v>
      </c>
      <c r="D23" s="156"/>
      <c r="E23" s="134"/>
      <c r="F23" s="134"/>
      <c r="G23" s="134"/>
      <c r="H23" s="157">
        <f>I23+J23+K23+L23+M23</f>
        <v>741485.088796</v>
      </c>
      <c r="I23" s="158">
        <f>I28+I33+I38+I43+I48+I53+I58+I63+I68+I73+I78</f>
        <v>30000</v>
      </c>
      <c r="J23" s="158">
        <f t="shared" ref="J23:M23" si="1">J28+J33+J38+J43+J48+J53+J58+J63+J68+J73+J78</f>
        <v>595604.718796</v>
      </c>
      <c r="K23" s="158">
        <f t="shared" si="1"/>
        <v>115880.37</v>
      </c>
      <c r="L23" s="158">
        <f t="shared" si="1"/>
        <v>0</v>
      </c>
      <c r="M23" s="158">
        <f t="shared" si="1"/>
        <v>0</v>
      </c>
      <c r="N23" s="50"/>
      <c r="O23" s="15" t="e">
        <f>#REF!+#REF!+#REF!+#REF!+#REF!+#REF!+#REF!+#REF!+#REF!+#REF!+#REF!+#REF!+#REF!+#REF!+#REF!+#REF!+#REF!+#REF!+#REF!+#REF!+#REF!+#REF!+#REF!</f>
        <v>#REF!</v>
      </c>
      <c r="P23" s="15" t="e">
        <f>#REF!+#REF!+#REF!+#REF!+#REF!+#REF!+#REF!+#REF!+#REF!+#REF!+#REF!+#REF!+#REF!+#REF!+#REF!+#REF!+#REF!+#REF!+#REF!+#REF!+#REF!+#REF!+#REF!</f>
        <v>#REF!</v>
      </c>
      <c r="Q23" s="15" t="e">
        <f>I28+I33+#REF!+#REF!+I38+#REF!+I43+#REF!+I48+#REF!+#REF!+#REF!+I53+#REF!+#REF!+#REF!+#REF!+#REF!+I63+#REF!+I68+#REF!+#REF!</f>
        <v>#REF!</v>
      </c>
      <c r="R23" s="15" t="e">
        <f>J28+J33+#REF!+#REF!+J38+#REF!+J43+#REF!+J48+#REF!+#REF!+#REF!+J53+#REF!+#REF!+#REF!+#REF!+#REF!+J63+#REF!+J68+#REF!+#REF!</f>
        <v>#REF!</v>
      </c>
      <c r="S23" s="15" t="e">
        <f>M28+M33+#REF!+#REF!+M38+#REF!+J43+#REF!+M48+#REF!+#REF!+#REF!+M53+#REF!+#REF!+#REF!+#REF!+#REF!+M63+#REF!+M68+#REF!+#REF!</f>
        <v>#REF!</v>
      </c>
      <c r="T23" s="15" t="e">
        <f>#REF!+#REF!+#REF!+#REF!+#REF!+#REF!+#REF!+#REF!+#REF!+#REF!+#REF!+#REF!+#REF!+#REF!+#REF!+#REF!+#REF!+#REF!+#REF!+#REF!+#REF!+#REF!+#REF!</f>
        <v>#REF!</v>
      </c>
    </row>
    <row r="24" spans="2:21" ht="40.049999999999997" customHeight="1" thickBot="1" x14ac:dyDescent="0.35">
      <c r="B24" s="118">
        <v>10</v>
      </c>
      <c r="C24" s="132" t="s">
        <v>2</v>
      </c>
      <c r="D24" s="156"/>
      <c r="E24" s="134"/>
      <c r="F24" s="134"/>
      <c r="G24" s="134"/>
      <c r="H24" s="157">
        <f>I24+J24+K24+L24+M24</f>
        <v>2243861.394146861</v>
      </c>
      <c r="I24" s="158">
        <f>I29+I34+I39+I44+I49+I54+I59+I64+I69+I74+I79</f>
        <v>398675.140579756</v>
      </c>
      <c r="J24" s="158">
        <f t="shared" ref="J24:M25" si="2">J29+J34+J39+J44+J49+J54+J59+J64+J69+J74+J79</f>
        <v>279815.74356710503</v>
      </c>
      <c r="K24" s="158">
        <f>K29+K34+K39+K44+K49+K54+K59+K64+K69+K74+K79</f>
        <v>1170.51</v>
      </c>
      <c r="L24" s="158">
        <f t="shared" si="2"/>
        <v>970200</v>
      </c>
      <c r="M24" s="158">
        <f t="shared" si="2"/>
        <v>594000</v>
      </c>
      <c r="N24" s="50"/>
      <c r="O24" s="15" t="e">
        <f>#REF!+#REF!+#REF!+#REF!+#REF!+#REF!+#REF!+#REF!+#REF!+#REF!+#REF!+#REF!+#REF!+#REF!+#REF!+#REF!+#REF!+#REF!+#REF!+#REF!+#REF!+#REF!+#REF!</f>
        <v>#REF!</v>
      </c>
      <c r="P24" s="15" t="e">
        <f>#REF!+#REF!+#REF!+#REF!+#REF!+#REF!+#REF!+#REF!+#REF!+#REF!+#REF!+#REF!+#REF!+#REF!+#REF!+#REF!+#REF!+#REF!+#REF!+#REF!+#REF!+#REF!+#REF!</f>
        <v>#REF!</v>
      </c>
      <c r="Q24" s="15" t="e">
        <f>I29+I34+#REF!+#REF!+I39+#REF!+I44+#REF!+I49+#REF!+#REF!+#REF!+I54+#REF!+#REF!+#REF!+#REF!+#REF!+I64+#REF!+I69+#REF!+#REF!</f>
        <v>#REF!</v>
      </c>
      <c r="R24" s="15" t="e">
        <f>J29+J34+#REF!+#REF!+J39+#REF!+J44+#REF!+J49+#REF!+#REF!+#REF!+J54+#REF!+#REF!+#REF!+#REF!+#REF!+J64+#REF!+J69+#REF!+#REF!</f>
        <v>#REF!</v>
      </c>
      <c r="S24" s="15" t="e">
        <f>M29+M34+#REF!+#REF!+M39+#REF!+J44+#REF!+M49+#REF!+#REF!+#REF!+M54+#REF!+#REF!+#REF!+#REF!+#REF!+M64+#REF!+M69+#REF!+#REF!</f>
        <v>#REF!</v>
      </c>
      <c r="T24" s="15" t="e">
        <f>#REF!+#REF!+#REF!+#REF!+#REF!+#REF!+#REF!+#REF!+#REF!+#REF!+#REF!+#REF!+#REF!+#REF!+#REF!+#REF!+#REF!+#REF!+#REF!+#REF!+#REF!+#REF!+#REF!</f>
        <v>#REF!</v>
      </c>
      <c r="U24" s="25" t="e">
        <f>T24+#REF!</f>
        <v>#REF!</v>
      </c>
    </row>
    <row r="25" spans="2:21" ht="40.049999999999997" customHeight="1" thickBot="1" x14ac:dyDescent="0.35">
      <c r="B25" s="118">
        <v>11</v>
      </c>
      <c r="C25" s="159" t="s">
        <v>3</v>
      </c>
      <c r="D25" s="160"/>
      <c r="E25" s="161"/>
      <c r="F25" s="161"/>
      <c r="G25" s="161"/>
      <c r="H25" s="162">
        <f>I25+J25+K25+L25+M25</f>
        <v>31243.085697139002</v>
      </c>
      <c r="I25" s="158">
        <f>I30+I35+I40+I45+I50+I55+I60+I65+I70+I75+I80</f>
        <v>5404.3441102440001</v>
      </c>
      <c r="J25" s="158">
        <f t="shared" si="2"/>
        <v>8856.4115868949993</v>
      </c>
      <c r="K25" s="158">
        <f t="shared" si="2"/>
        <v>1182.33</v>
      </c>
      <c r="L25" s="158">
        <f t="shared" si="2"/>
        <v>9800</v>
      </c>
      <c r="M25" s="158">
        <f t="shared" si="2"/>
        <v>6000</v>
      </c>
      <c r="N25" s="50"/>
      <c r="O25" s="15" t="e">
        <f>#REF!+#REF!+#REF!+#REF!+#REF!+#REF!+#REF!+#REF!+#REF!+#REF!+#REF!+#REF!+#REF!+#REF!+#REF!+#REF!+#REF!+#REF!+#REF!+#REF!+#REF!+#REF!+#REF!</f>
        <v>#REF!</v>
      </c>
      <c r="P25" s="15" t="e">
        <f>#REF!+#REF!+#REF!+#REF!+#REF!+#REF!+#REF!+#REF!+#REF!+#REF!+#REF!+#REF!+#REF!+#REF!+#REF!+#REF!+#REF!+#REF!+#REF!+#REF!+#REF!+#REF!+#REF!</f>
        <v>#REF!</v>
      </c>
      <c r="Q25" s="15" t="e">
        <f>I30+I35+#REF!+#REF!+I40+#REF!+I45+#REF!+I50+#REF!+#REF!+#REF!+I55+#REF!+#REF!+#REF!+#REF!+#REF!+I65+#REF!+I70+#REF!+#REF!</f>
        <v>#REF!</v>
      </c>
      <c r="R25" s="15" t="e">
        <f>J30+J35+#REF!+#REF!+J40+#REF!+J45+#REF!+J50+#REF!+#REF!+#REF!+J55+#REF!+#REF!+#REF!+#REF!+#REF!+J65+#REF!+J70+#REF!+#REF!</f>
        <v>#REF!</v>
      </c>
      <c r="S25" s="15" t="e">
        <f>M30+M35+#REF!+#REF!+M40+#REF!+J45+#REF!+M50+#REF!+#REF!+#REF!+M55+#REF!+#REF!+#REF!+#REF!+#REF!+M65+#REF!+M70+#REF!+#REF!</f>
        <v>#REF!</v>
      </c>
      <c r="T25" s="15" t="e">
        <f>#REF!+#REF!+#REF!+#REF!+#REF!+#REF!+#REF!+#REF!+#REF!+#REF!+#REF!+#REF!+#REF!+#REF!+#REF!+#REF!+#REF!+#REF!+#REF!+#REF!+#REF!+#REF!+#REF!</f>
        <v>#REF!</v>
      </c>
      <c r="U25" s="15" t="e">
        <f>#REF!+#REF!+#REF!+#REF!+#REF!+#REF!+#REF!+#REF!+#REF!+#REF!+#REF!+#REF!+#REF!+#REF!+#REF!+#REF!+#REF!+#REF!+#REF!+#REF!+#REF!+#REF!+#REF!</f>
        <v>#REF!</v>
      </c>
    </row>
    <row r="26" spans="2:21" ht="170.4" customHeight="1" thickBot="1" x14ac:dyDescent="0.35">
      <c r="B26" s="118">
        <v>12</v>
      </c>
      <c r="C26" s="141" t="s">
        <v>9</v>
      </c>
      <c r="D26" s="163" t="s">
        <v>118</v>
      </c>
      <c r="E26" s="112">
        <v>2021</v>
      </c>
      <c r="F26" s="112">
        <v>2024</v>
      </c>
      <c r="G26" s="164" t="s">
        <v>28</v>
      </c>
      <c r="H26" s="165">
        <f>I26+J26+K26+L26+M26</f>
        <v>3229</v>
      </c>
      <c r="I26" s="166">
        <v>3229</v>
      </c>
      <c r="J26" s="167">
        <f>SUM(J28:J30)</f>
        <v>0</v>
      </c>
      <c r="K26" s="167">
        <f>SUM(K28:K30)</f>
        <v>0</v>
      </c>
      <c r="L26" s="167">
        <f>SUM(L28:L30)</f>
        <v>0</v>
      </c>
      <c r="M26" s="167">
        <f>SUM(M28:M30)</f>
        <v>0</v>
      </c>
      <c r="N26" s="8">
        <v>3229</v>
      </c>
      <c r="O26" s="52" t="s">
        <v>105</v>
      </c>
      <c r="P26" s="23" t="e">
        <f>#REF!+'[1]15.09.2021 (2)'!$J$59</f>
        <v>#REF!</v>
      </c>
      <c r="R26" s="26">
        <v>6341.2</v>
      </c>
    </row>
    <row r="27" spans="2:21" ht="40.049999999999997" customHeight="1" thickBot="1" x14ac:dyDescent="0.35">
      <c r="B27" s="118">
        <v>13</v>
      </c>
      <c r="C27" s="138" t="s">
        <v>0</v>
      </c>
      <c r="D27" s="168"/>
      <c r="E27" s="169"/>
      <c r="F27" s="169"/>
      <c r="G27" s="170"/>
      <c r="H27" s="171"/>
      <c r="I27" s="172"/>
      <c r="J27" s="173"/>
      <c r="K27" s="174"/>
      <c r="L27" s="174"/>
      <c r="M27" s="174"/>
      <c r="N27" s="8">
        <f>N26*0.95</f>
        <v>3067.5499999999997</v>
      </c>
      <c r="O27" s="16"/>
      <c r="R27" s="26">
        <v>3112.2</v>
      </c>
    </row>
    <row r="28" spans="2:21" ht="40.049999999999997" customHeight="1" thickBot="1" x14ac:dyDescent="0.35">
      <c r="B28" s="118">
        <v>14</v>
      </c>
      <c r="C28" s="132" t="s">
        <v>1</v>
      </c>
      <c r="D28" s="156"/>
      <c r="E28" s="134"/>
      <c r="F28" s="134"/>
      <c r="G28" s="175"/>
      <c r="H28" s="176">
        <f>I28+J28+K28+L28+M28</f>
        <v>0</v>
      </c>
      <c r="I28" s="176">
        <v>0</v>
      </c>
      <c r="J28" s="176">
        <v>0</v>
      </c>
      <c r="K28" s="177">
        <v>0</v>
      </c>
      <c r="L28" s="177">
        <v>0</v>
      </c>
      <c r="M28" s="177">
        <v>0</v>
      </c>
      <c r="N28" s="8">
        <f>N26/100*5</f>
        <v>161.44999999999999</v>
      </c>
      <c r="O28" s="16"/>
    </row>
    <row r="29" spans="2:21" ht="40.049999999999997" customHeight="1" thickBot="1" x14ac:dyDescent="0.35">
      <c r="B29" s="118">
        <v>15</v>
      </c>
      <c r="C29" s="132" t="s">
        <v>2</v>
      </c>
      <c r="D29" s="156"/>
      <c r="E29" s="134"/>
      <c r="F29" s="134"/>
      <c r="G29" s="175"/>
      <c r="H29" s="178">
        <f>I29+J29+K29+L29+M29</f>
        <v>3067.5499999999997</v>
      </c>
      <c r="I29" s="179">
        <f>I26*0.95</f>
        <v>3067.5499999999997</v>
      </c>
      <c r="J29" s="176">
        <v>0</v>
      </c>
      <c r="K29" s="177">
        <v>0</v>
      </c>
      <c r="L29" s="177">
        <v>0</v>
      </c>
      <c r="M29" s="177">
        <v>0</v>
      </c>
      <c r="N29" s="50"/>
      <c r="O29" s="16" t="s">
        <v>8</v>
      </c>
      <c r="P29" s="23" t="e">
        <f>#REF!+'[1]15.09.2021 (2)'!$J$62</f>
        <v>#REF!</v>
      </c>
      <c r="Q29" s="1">
        <v>3341.2</v>
      </c>
      <c r="R29" s="27"/>
    </row>
    <row r="30" spans="2:21" ht="40.049999999999997" customHeight="1" thickBot="1" x14ac:dyDescent="0.35">
      <c r="B30" s="118">
        <v>16</v>
      </c>
      <c r="C30" s="159" t="s">
        <v>3</v>
      </c>
      <c r="D30" s="160"/>
      <c r="E30" s="161"/>
      <c r="F30" s="180"/>
      <c r="G30" s="181"/>
      <c r="H30" s="182">
        <f>I30+J30+K30+L30+M30</f>
        <v>161.44999999999999</v>
      </c>
      <c r="I30" s="183">
        <f>I26/100*5</f>
        <v>161.44999999999999</v>
      </c>
      <c r="J30" s="184">
        <v>0</v>
      </c>
      <c r="K30" s="185">
        <v>0</v>
      </c>
      <c r="L30" s="185">
        <v>0</v>
      </c>
      <c r="M30" s="185">
        <v>0</v>
      </c>
      <c r="N30" s="50"/>
      <c r="O30" s="15" t="e">
        <f>#REF!+#REF!+#REF!+#REF!+#REF!+#REF!+#REF!+#REF!</f>
        <v>#REF!</v>
      </c>
      <c r="P30" s="23" t="e">
        <f>#REF!+'[1]15.09.2021 (2)'!$J$63</f>
        <v>#REF!</v>
      </c>
      <c r="Q30" s="27" t="e">
        <f>#REF!/100*5</f>
        <v>#REF!</v>
      </c>
    </row>
    <row r="31" spans="2:21" ht="182.4" customHeight="1" thickBot="1" x14ac:dyDescent="0.35">
      <c r="B31" s="118">
        <v>17</v>
      </c>
      <c r="C31" s="119" t="s">
        <v>158</v>
      </c>
      <c r="D31" s="163" t="s">
        <v>118</v>
      </c>
      <c r="E31" s="112">
        <v>2027</v>
      </c>
      <c r="F31" s="164">
        <v>2028</v>
      </c>
      <c r="G31" s="112" t="s">
        <v>67</v>
      </c>
      <c r="H31" s="186">
        <f>I31+J31+K31+L31+M31</f>
        <v>1100000</v>
      </c>
      <c r="I31" s="187">
        <f>I33+I34+I35</f>
        <v>0</v>
      </c>
      <c r="J31" s="188">
        <f>J33+J34+J35</f>
        <v>0</v>
      </c>
      <c r="K31" s="167">
        <f>SUM(K33:K35)</f>
        <v>0</v>
      </c>
      <c r="L31" s="152">
        <f>L33+L34+L35</f>
        <v>500000</v>
      </c>
      <c r="M31" s="167">
        <f>M33+M34+M35</f>
        <v>600000</v>
      </c>
      <c r="N31" s="10"/>
      <c r="O31" s="13">
        <f>24000+10831</f>
        <v>34831</v>
      </c>
      <c r="Q31" s="27">
        <f>Q29/100*5</f>
        <v>167.06</v>
      </c>
      <c r="R31" s="27">
        <f>Q29*0.95</f>
        <v>3174.14</v>
      </c>
    </row>
    <row r="32" spans="2:21" ht="40.049999999999997" customHeight="1" thickBot="1" x14ac:dyDescent="0.35">
      <c r="B32" s="118">
        <v>18</v>
      </c>
      <c r="C32" s="189" t="s">
        <v>0</v>
      </c>
      <c r="D32" s="190"/>
      <c r="E32" s="191"/>
      <c r="F32" s="127"/>
      <c r="G32" s="170"/>
      <c r="H32" s="154"/>
      <c r="I32" s="192"/>
      <c r="J32" s="193"/>
      <c r="K32" s="174"/>
      <c r="L32" s="194"/>
      <c r="M32" s="174"/>
      <c r="N32" s="50"/>
      <c r="O32" s="16"/>
    </row>
    <row r="33" spans="2:22" ht="40.049999999999997" customHeight="1" thickBot="1" x14ac:dyDescent="0.35">
      <c r="B33" s="118">
        <v>19</v>
      </c>
      <c r="C33" s="195" t="s">
        <v>1</v>
      </c>
      <c r="D33" s="196"/>
      <c r="E33" s="139"/>
      <c r="F33" s="134"/>
      <c r="G33" s="175"/>
      <c r="H33" s="176">
        <f>I33+J33+K33+L33+M33</f>
        <v>0</v>
      </c>
      <c r="I33" s="176">
        <v>0</v>
      </c>
      <c r="J33" s="197">
        <v>0</v>
      </c>
      <c r="K33" s="177">
        <v>0</v>
      </c>
      <c r="L33" s="176">
        <v>0</v>
      </c>
      <c r="M33" s="177">
        <v>0</v>
      </c>
      <c r="N33" s="50"/>
      <c r="O33" s="16"/>
    </row>
    <row r="34" spans="2:22" ht="40.049999999999997" customHeight="1" thickBot="1" x14ac:dyDescent="0.35">
      <c r="B34" s="118">
        <v>20</v>
      </c>
      <c r="C34" s="195" t="s">
        <v>2</v>
      </c>
      <c r="D34" s="196"/>
      <c r="E34" s="139"/>
      <c r="F34" s="134"/>
      <c r="G34" s="175"/>
      <c r="H34" s="157">
        <f>I34+J34+K34+L34+M34</f>
        <v>1089000</v>
      </c>
      <c r="I34" s="176">
        <v>0</v>
      </c>
      <c r="J34" s="197">
        <v>0</v>
      </c>
      <c r="K34" s="177">
        <v>0</v>
      </c>
      <c r="L34" s="198">
        <v>495000</v>
      </c>
      <c r="M34" s="177">
        <v>594000</v>
      </c>
      <c r="N34" s="50"/>
      <c r="O34" s="16"/>
    </row>
    <row r="35" spans="2:22" ht="40.049999999999997" customHeight="1" thickBot="1" x14ac:dyDescent="0.35">
      <c r="B35" s="118">
        <v>21</v>
      </c>
      <c r="C35" s="199" t="s">
        <v>3</v>
      </c>
      <c r="D35" s="200"/>
      <c r="E35" s="201"/>
      <c r="F35" s="161"/>
      <c r="G35" s="202"/>
      <c r="H35" s="162">
        <f>I35+J35+K35+L35+M35</f>
        <v>11000</v>
      </c>
      <c r="I35" s="176">
        <v>0</v>
      </c>
      <c r="J35" s="203">
        <v>0</v>
      </c>
      <c r="K35" s="185">
        <v>0</v>
      </c>
      <c r="L35" s="204">
        <v>5000</v>
      </c>
      <c r="M35" s="205">
        <v>6000</v>
      </c>
      <c r="N35" s="50"/>
      <c r="O35" s="15"/>
      <c r="P35" s="23"/>
    </row>
    <row r="36" spans="2:22" ht="213.6" customHeight="1" thickBot="1" x14ac:dyDescent="0.35">
      <c r="B36" s="118">
        <v>22</v>
      </c>
      <c r="C36" s="206" t="s">
        <v>29</v>
      </c>
      <c r="D36" s="163" t="s">
        <v>118</v>
      </c>
      <c r="E36" s="112">
        <v>2025</v>
      </c>
      <c r="F36" s="164">
        <v>2026</v>
      </c>
      <c r="G36" s="112" t="s">
        <v>68</v>
      </c>
      <c r="H36" s="207">
        <f>I36+J36+K36+L36+M36</f>
        <v>231051.15999999997</v>
      </c>
      <c r="I36" s="208">
        <f>SUM(I38:I40)</f>
        <v>0</v>
      </c>
      <c r="J36" s="152">
        <f>SUM(J38:J40)</f>
        <v>112817.94999999998</v>
      </c>
      <c r="K36" s="208">
        <f>SUM(K38:K40)</f>
        <v>118233.20999999999</v>
      </c>
      <c r="L36" s="167">
        <f>SUM(L38:L40)</f>
        <v>0</v>
      </c>
      <c r="M36" s="208">
        <f>SUM(M38:M40)</f>
        <v>0</v>
      </c>
      <c r="N36" s="10"/>
      <c r="O36" s="13">
        <v>150000</v>
      </c>
      <c r="Q36" s="97">
        <v>217459.94</v>
      </c>
      <c r="R36" s="97">
        <v>100000</v>
      </c>
      <c r="S36" s="97">
        <f>Q36-R36</f>
        <v>117459.94</v>
      </c>
    </row>
    <row r="37" spans="2:22" ht="40.049999999999997" customHeight="1" thickBot="1" x14ac:dyDescent="0.35">
      <c r="B37" s="118">
        <v>23</v>
      </c>
      <c r="C37" s="125" t="s">
        <v>0</v>
      </c>
      <c r="D37" s="153"/>
      <c r="E37" s="127"/>
      <c r="F37" s="127"/>
      <c r="G37" s="128"/>
      <c r="H37" s="154"/>
      <c r="I37" s="209"/>
      <c r="J37" s="210"/>
      <c r="K37" s="211"/>
      <c r="L37" s="174"/>
      <c r="M37" s="211"/>
      <c r="N37" s="50"/>
      <c r="O37" s="16"/>
    </row>
    <row r="38" spans="2:22" ht="40.049999999999997" customHeight="1" thickBot="1" x14ac:dyDescent="0.35">
      <c r="B38" s="118">
        <v>24</v>
      </c>
      <c r="C38" s="132" t="s">
        <v>1</v>
      </c>
      <c r="D38" s="156"/>
      <c r="E38" s="134"/>
      <c r="F38" s="134"/>
      <c r="G38" s="139"/>
      <c r="H38" s="157">
        <f>I38+J38+K38+L38+M38</f>
        <v>226453.24</v>
      </c>
      <c r="I38" s="177">
        <v>0</v>
      </c>
      <c r="J38" s="176">
        <v>110572.87</v>
      </c>
      <c r="K38" s="176">
        <v>115880.37</v>
      </c>
      <c r="L38" s="177">
        <v>0</v>
      </c>
      <c r="M38" s="176">
        <v>0</v>
      </c>
      <c r="N38" s="50"/>
      <c r="O38" s="16"/>
    </row>
    <row r="39" spans="2:22" ht="40.049999999999997" customHeight="1" thickBot="1" x14ac:dyDescent="0.35">
      <c r="B39" s="118">
        <v>25</v>
      </c>
      <c r="C39" s="132" t="s">
        <v>2</v>
      </c>
      <c r="D39" s="156"/>
      <c r="E39" s="134"/>
      <c r="F39" s="134"/>
      <c r="G39" s="139"/>
      <c r="H39" s="157">
        <f>I39+J39+K39+L39+M39</f>
        <v>2287.41</v>
      </c>
      <c r="I39" s="177">
        <v>0</v>
      </c>
      <c r="J39" s="176">
        <v>1116.9000000000001</v>
      </c>
      <c r="K39" s="176">
        <v>1170.51</v>
      </c>
      <c r="L39" s="177">
        <v>0</v>
      </c>
      <c r="M39" s="176">
        <v>0</v>
      </c>
      <c r="N39" s="50"/>
      <c r="O39" s="16">
        <f>O36/100*99</f>
        <v>148500</v>
      </c>
      <c r="P39" s="97">
        <f>O39/2</f>
        <v>74250</v>
      </c>
      <c r="R39" s="97">
        <f>R36/100*99</f>
        <v>99000</v>
      </c>
      <c r="S39" s="97">
        <f>S36/100*99</f>
        <v>116285.34060000001</v>
      </c>
    </row>
    <row r="40" spans="2:22" ht="40.049999999999997" customHeight="1" thickBot="1" x14ac:dyDescent="0.35">
      <c r="B40" s="118">
        <v>26</v>
      </c>
      <c r="C40" s="159" t="s">
        <v>3</v>
      </c>
      <c r="D40" s="160"/>
      <c r="E40" s="161"/>
      <c r="F40" s="161"/>
      <c r="G40" s="201"/>
      <c r="H40" s="162">
        <f>I40+J40+K40+L40+M40</f>
        <v>2310.5100000000002</v>
      </c>
      <c r="I40" s="177">
        <v>0</v>
      </c>
      <c r="J40" s="204">
        <v>1128.18</v>
      </c>
      <c r="K40" s="212">
        <v>1182.33</v>
      </c>
      <c r="L40" s="185">
        <v>0</v>
      </c>
      <c r="M40" s="212">
        <v>0</v>
      </c>
      <c r="N40" s="50"/>
      <c r="O40" s="16">
        <f>O36/100</f>
        <v>1500</v>
      </c>
      <c r="P40" s="97">
        <f>O40/2</f>
        <v>750</v>
      </c>
      <c r="R40" s="97">
        <f>R36/100</f>
        <v>1000</v>
      </c>
      <c r="S40" s="97">
        <f>S36/100</f>
        <v>1174.5994000000001</v>
      </c>
    </row>
    <row r="41" spans="2:22" ht="111" customHeight="1" thickBot="1" x14ac:dyDescent="0.35">
      <c r="B41" s="118">
        <v>27</v>
      </c>
      <c r="C41" s="141" t="s">
        <v>30</v>
      </c>
      <c r="D41" s="163" t="s">
        <v>118</v>
      </c>
      <c r="E41" s="112">
        <v>2024</v>
      </c>
      <c r="F41" s="112">
        <v>2025</v>
      </c>
      <c r="G41" s="112" t="s">
        <v>69</v>
      </c>
      <c r="H41" s="213">
        <f>I41+J41+K41+L41+M41</f>
        <v>677879.96</v>
      </c>
      <c r="I41" s="214">
        <f>I43+I44+I45</f>
        <v>183000</v>
      </c>
      <c r="J41" s="215">
        <f>J43+J44+J45</f>
        <v>494879.96</v>
      </c>
      <c r="K41" s="208">
        <f>SUM(K43:K45)</f>
        <v>0</v>
      </c>
      <c r="L41" s="167">
        <f>SUM(L43:L45)</f>
        <v>0</v>
      </c>
      <c r="M41" s="208">
        <f>M43+M44+M45</f>
        <v>0</v>
      </c>
      <c r="N41" s="39"/>
      <c r="O41" s="53">
        <v>53516.677640000002</v>
      </c>
      <c r="Q41" s="19">
        <v>183000</v>
      </c>
      <c r="R41" s="19">
        <v>427000</v>
      </c>
    </row>
    <row r="42" spans="2:22" ht="40.049999999999997" customHeight="1" thickBot="1" x14ac:dyDescent="0.35">
      <c r="B42" s="118">
        <v>28</v>
      </c>
      <c r="C42" s="138" t="s">
        <v>0</v>
      </c>
      <c r="D42" s="190"/>
      <c r="E42" s="127"/>
      <c r="F42" s="170"/>
      <c r="G42" s="128"/>
      <c r="H42" s="216"/>
      <c r="I42" s="217"/>
      <c r="J42" s="218"/>
      <c r="K42" s="174"/>
      <c r="L42" s="174"/>
      <c r="M42" s="219"/>
      <c r="N42" s="39"/>
      <c r="O42" s="55">
        <f>O43+O44+O45</f>
        <v>106487.66185</v>
      </c>
      <c r="P42" s="97">
        <v>54057.359370046499</v>
      </c>
      <c r="Q42" s="20"/>
      <c r="R42" s="20"/>
    </row>
    <row r="43" spans="2:22" ht="40.049999999999997" customHeight="1" thickBot="1" x14ac:dyDescent="0.35">
      <c r="B43" s="118">
        <v>29</v>
      </c>
      <c r="C43" s="132" t="s">
        <v>1</v>
      </c>
      <c r="D43" s="196"/>
      <c r="E43" s="134"/>
      <c r="F43" s="175"/>
      <c r="G43" s="139"/>
      <c r="H43" s="157">
        <f>I43+J43+K43+L43+M43</f>
        <v>485031.84879600001</v>
      </c>
      <c r="I43" s="177">
        <v>0</v>
      </c>
      <c r="J43" s="176">
        <v>485031.84879600001</v>
      </c>
      <c r="K43" s="177">
        <v>0</v>
      </c>
      <c r="L43" s="177">
        <v>0</v>
      </c>
      <c r="M43" s="176">
        <v>0</v>
      </c>
      <c r="N43" s="39"/>
      <c r="O43" s="53">
        <v>52970.984210000002</v>
      </c>
      <c r="P43" s="54">
        <f>O41-O43</f>
        <v>545.69342999999935</v>
      </c>
      <c r="Q43" s="20">
        <f>(Q41-Q45)/100*99</f>
        <v>179358.30000000002</v>
      </c>
      <c r="R43" s="20">
        <f>(R41-R45)/100*99</f>
        <v>418502.7</v>
      </c>
    </row>
    <row r="44" spans="2:22" ht="40.049999999999997" customHeight="1" thickBot="1" x14ac:dyDescent="0.35">
      <c r="B44" s="118">
        <v>30</v>
      </c>
      <c r="C44" s="132" t="s">
        <v>2</v>
      </c>
      <c r="D44" s="196"/>
      <c r="E44" s="134"/>
      <c r="F44" s="175"/>
      <c r="G44" s="139"/>
      <c r="H44" s="157">
        <f>I44+J44+K44+L44+M44</f>
        <v>186069.31160399999</v>
      </c>
      <c r="I44" s="220">
        <v>181170</v>
      </c>
      <c r="J44" s="176">
        <v>4899.3116039999995</v>
      </c>
      <c r="K44" s="177">
        <v>0</v>
      </c>
      <c r="L44" s="177">
        <v>0</v>
      </c>
      <c r="M44" s="176">
        <v>0</v>
      </c>
      <c r="N44" s="39"/>
      <c r="O44" s="53">
        <f>O41-O45</f>
        <v>52975.995909953526</v>
      </c>
      <c r="P44" s="54">
        <f>O43+O44</f>
        <v>105946.98011995353</v>
      </c>
      <c r="Q44" s="20">
        <f>Q41-Q43-Q45</f>
        <v>1811.6999999999825</v>
      </c>
      <c r="R44" s="20">
        <f>R41-R43-R45</f>
        <v>4227.2999999999884</v>
      </c>
    </row>
    <row r="45" spans="2:22" ht="40.049999999999997" customHeight="1" thickBot="1" x14ac:dyDescent="0.35">
      <c r="B45" s="118">
        <v>31</v>
      </c>
      <c r="C45" s="221" t="s">
        <v>3</v>
      </c>
      <c r="D45" s="222"/>
      <c r="E45" s="161"/>
      <c r="F45" s="181"/>
      <c r="G45" s="201"/>
      <c r="H45" s="162">
        <f>I45+J45+K45+L45+M45</f>
        <v>6778.7996000000003</v>
      </c>
      <c r="I45" s="223">
        <v>1830</v>
      </c>
      <c r="J45" s="176">
        <v>4948.7996000000003</v>
      </c>
      <c r="K45" s="185">
        <v>0</v>
      </c>
      <c r="L45" s="185">
        <v>0</v>
      </c>
      <c r="M45" s="176">
        <v>0</v>
      </c>
      <c r="N45" s="39"/>
      <c r="O45" s="53">
        <f>O41/98.98</f>
        <v>540.68173004647406</v>
      </c>
      <c r="P45" s="97" t="s">
        <v>6</v>
      </c>
      <c r="Q45" s="20">
        <f>Q41/100</f>
        <v>1830</v>
      </c>
      <c r="R45" s="20">
        <f>R41/100</f>
        <v>4270</v>
      </c>
    </row>
    <row r="46" spans="2:22" ht="159.6" customHeight="1" thickBot="1" x14ac:dyDescent="0.35">
      <c r="B46" s="118">
        <v>32</v>
      </c>
      <c r="C46" s="119" t="s">
        <v>31</v>
      </c>
      <c r="D46" s="224" t="s">
        <v>119</v>
      </c>
      <c r="E46" s="225">
        <v>2024</v>
      </c>
      <c r="F46" s="112">
        <v>2026</v>
      </c>
      <c r="G46" s="112" t="s">
        <v>70</v>
      </c>
      <c r="H46" s="213">
        <f>I46+J46+K46+L46+M46</f>
        <v>164716.03239000001</v>
      </c>
      <c r="I46" s="152">
        <v>28292.558440000001</v>
      </c>
      <c r="J46" s="152">
        <v>136423.47395000001</v>
      </c>
      <c r="K46" s="208">
        <f>K48+K49+K50</f>
        <v>0</v>
      </c>
      <c r="L46" s="208">
        <f>L48+L49+L50</f>
        <v>0</v>
      </c>
      <c r="M46" s="208">
        <f>M48+M49+M50</f>
        <v>0</v>
      </c>
      <c r="N46" s="69" t="s">
        <v>132</v>
      </c>
      <c r="O46" s="97">
        <v>215000</v>
      </c>
      <c r="P46" s="47">
        <f>J46+M46</f>
        <v>136423.47395000001</v>
      </c>
      <c r="Q46" s="54">
        <f>P43+O45+O43</f>
        <v>54057.359370046477</v>
      </c>
      <c r="R46" s="54">
        <v>218230.5</v>
      </c>
      <c r="S46" s="54">
        <v>53516.677640000002</v>
      </c>
      <c r="T46" s="54">
        <v>30306.122449999999</v>
      </c>
      <c r="U46" s="54">
        <f>R46-S46-T46</f>
        <v>134407.69991</v>
      </c>
      <c r="V46" s="59"/>
    </row>
    <row r="47" spans="2:22" ht="40.049999999999997" customHeight="1" thickBot="1" x14ac:dyDescent="0.35">
      <c r="B47" s="118">
        <v>33</v>
      </c>
      <c r="C47" s="226" t="s">
        <v>0</v>
      </c>
      <c r="D47" s="227"/>
      <c r="E47" s="127"/>
      <c r="F47" s="127"/>
      <c r="G47" s="228"/>
      <c r="H47" s="154"/>
      <c r="I47" s="210"/>
      <c r="J47" s="209"/>
      <c r="K47" s="209"/>
      <c r="L47" s="209"/>
      <c r="M47" s="209"/>
      <c r="N47" s="57">
        <v>53516.677640000002</v>
      </c>
      <c r="O47" s="58">
        <f>N47-N50</f>
        <v>52975.995909953526</v>
      </c>
      <c r="P47" s="47"/>
      <c r="R47" s="54"/>
      <c r="S47" s="54"/>
      <c r="T47" s="54">
        <v>30306.122449999999</v>
      </c>
      <c r="U47" s="54">
        <v>134407.69991</v>
      </c>
      <c r="V47" s="59"/>
    </row>
    <row r="48" spans="2:22" ht="40.049999999999997" customHeight="1" thickBot="1" x14ac:dyDescent="0.35">
      <c r="B48" s="118">
        <v>34</v>
      </c>
      <c r="C48" s="195" t="s">
        <v>1</v>
      </c>
      <c r="D48" s="196"/>
      <c r="E48" s="134"/>
      <c r="F48" s="134"/>
      <c r="G48" s="175"/>
      <c r="H48" s="136">
        <f>I48+J48+K48+L48+M48</f>
        <v>0</v>
      </c>
      <c r="I48" s="176">
        <v>0</v>
      </c>
      <c r="J48" s="176">
        <v>0</v>
      </c>
      <c r="K48" s="176">
        <v>0</v>
      </c>
      <c r="L48" s="176">
        <v>0</v>
      </c>
      <c r="M48" s="176">
        <v>0</v>
      </c>
      <c r="N48" s="57">
        <f>N47-N49-N50</f>
        <v>52435.640749953527</v>
      </c>
      <c r="O48" s="15">
        <f>O47*98.98/100</f>
        <v>52435.640751672006</v>
      </c>
      <c r="P48" s="47">
        <f>J48+M48</f>
        <v>0</v>
      </c>
      <c r="R48" s="54"/>
      <c r="S48" s="54">
        <v>52435.640749953527</v>
      </c>
      <c r="T48" s="57">
        <f>T47-T49-T50</f>
        <v>7.3896444519050419E-13</v>
      </c>
      <c r="U48" s="57">
        <f>U47-U49-U50</f>
        <v>7.503331289626658E-12</v>
      </c>
      <c r="V48" s="59"/>
    </row>
    <row r="49" spans="1:23" ht="40.049999999999997" customHeight="1" thickBot="1" x14ac:dyDescent="0.35">
      <c r="B49" s="118">
        <v>35</v>
      </c>
      <c r="C49" s="195" t="s">
        <v>2</v>
      </c>
      <c r="D49" s="196"/>
      <c r="E49" s="134"/>
      <c r="F49" s="134"/>
      <c r="G49" s="175"/>
      <c r="H49" s="157">
        <f>I49+J49+K49+L49+M49</f>
        <v>163052.40046286103</v>
      </c>
      <c r="I49" s="176">
        <f>I46*98.99%</f>
        <v>28006.803599756</v>
      </c>
      <c r="J49" s="176">
        <f>J46*98.99%</f>
        <v>135045.59686310502</v>
      </c>
      <c r="K49" s="176">
        <v>0</v>
      </c>
      <c r="L49" s="176">
        <v>0</v>
      </c>
      <c r="M49" s="176">
        <v>0</v>
      </c>
      <c r="N49" s="57">
        <v>540.35515999999996</v>
      </c>
      <c r="O49" s="56">
        <f>O47-O48</f>
        <v>540.35515828151983</v>
      </c>
      <c r="P49" s="47">
        <f>J49+M49</f>
        <v>135045.59686310502</v>
      </c>
      <c r="R49" s="54"/>
      <c r="S49" s="54">
        <v>540.35515999999996</v>
      </c>
      <c r="T49" s="57">
        <f>T47-T50</f>
        <v>29999.938145595068</v>
      </c>
      <c r="U49" s="57">
        <f>U47-U50</f>
        <v>133049.77204669427</v>
      </c>
      <c r="V49" s="59"/>
    </row>
    <row r="50" spans="1:23" ht="40.049999999999997" customHeight="1" thickBot="1" x14ac:dyDescent="0.35">
      <c r="B50" s="118">
        <v>36</v>
      </c>
      <c r="C50" s="229" t="s">
        <v>3</v>
      </c>
      <c r="D50" s="222"/>
      <c r="E50" s="180"/>
      <c r="F50" s="180"/>
      <c r="G50" s="181"/>
      <c r="H50" s="162">
        <f>I50+J50+K50+L50+M50</f>
        <v>1663.631927139</v>
      </c>
      <c r="I50" s="176">
        <f>I46*1.01%</f>
        <v>285.75484024399998</v>
      </c>
      <c r="J50" s="176">
        <f>J46*1.01%</f>
        <v>1377.877086895</v>
      </c>
      <c r="K50" s="176">
        <v>0</v>
      </c>
      <c r="L50" s="176">
        <v>0</v>
      </c>
      <c r="M50" s="176">
        <v>0</v>
      </c>
      <c r="N50" s="57">
        <f>N47/98.98</f>
        <v>540.68173004647406</v>
      </c>
      <c r="O50" s="56">
        <f>I46/98.98</f>
        <v>285.84116427561122</v>
      </c>
      <c r="P50" s="47">
        <f>J50+M50</f>
        <v>1377.877086895</v>
      </c>
      <c r="R50" s="54"/>
      <c r="S50" s="54">
        <v>540.68173004647406</v>
      </c>
      <c r="T50" s="57">
        <f>T47/98.98</f>
        <v>306.18430440493029</v>
      </c>
      <c r="U50" s="57">
        <f>U47/98.98</f>
        <v>1357.9278633057181</v>
      </c>
      <c r="V50" s="59"/>
    </row>
    <row r="51" spans="1:23" ht="105.6" customHeight="1" thickBot="1" x14ac:dyDescent="0.35">
      <c r="B51" s="118">
        <v>37</v>
      </c>
      <c r="C51" s="230" t="s">
        <v>144</v>
      </c>
      <c r="D51" s="163" t="s">
        <v>118</v>
      </c>
      <c r="E51" s="225">
        <v>2024</v>
      </c>
      <c r="F51" s="112">
        <v>2024</v>
      </c>
      <c r="G51" s="164" t="s">
        <v>71</v>
      </c>
      <c r="H51" s="151">
        <f>I51+J51+K51+L51+M51</f>
        <v>56281.426149999999</v>
      </c>
      <c r="I51" s="231">
        <f>I53+I54+I55</f>
        <v>56281.426149999999</v>
      </c>
      <c r="J51" s="232">
        <f>J53+J54+J55</f>
        <v>0</v>
      </c>
      <c r="K51" s="208">
        <v>0</v>
      </c>
      <c r="L51" s="208">
        <v>0</v>
      </c>
      <c r="M51" s="208">
        <v>0</v>
      </c>
      <c r="N51" s="60">
        <f>I51+J51</f>
        <v>56281.426149999999</v>
      </c>
      <c r="O51" s="72">
        <f>N47+I46+J46</f>
        <v>218232.71003000002</v>
      </c>
      <c r="R51" s="54"/>
      <c r="S51" s="54"/>
      <c r="T51" s="54"/>
      <c r="U51" s="54"/>
      <c r="V51" s="59"/>
    </row>
    <row r="52" spans="1:23" ht="40.049999999999997" customHeight="1" thickBot="1" x14ac:dyDescent="0.35">
      <c r="B52" s="118">
        <v>38</v>
      </c>
      <c r="C52" s="125" t="s">
        <v>0</v>
      </c>
      <c r="D52" s="233"/>
      <c r="E52" s="234"/>
      <c r="F52" s="235"/>
      <c r="G52" s="234"/>
      <c r="H52" s="236"/>
      <c r="I52" s="155"/>
      <c r="J52" s="237"/>
      <c r="K52" s="238"/>
      <c r="L52" s="238"/>
      <c r="M52" s="238"/>
      <c r="N52" s="60"/>
      <c r="O52" s="568" t="s">
        <v>107</v>
      </c>
    </row>
    <row r="53" spans="1:23" ht="40.049999999999997" customHeight="1" thickBot="1" x14ac:dyDescent="0.35">
      <c r="B53" s="118">
        <v>39</v>
      </c>
      <c r="C53" s="138" t="s">
        <v>1</v>
      </c>
      <c r="D53" s="239"/>
      <c r="E53" s="169"/>
      <c r="F53" s="170"/>
      <c r="G53" s="169"/>
      <c r="H53" s="240">
        <f>I53+J53+K53+L53+M53</f>
        <v>30000</v>
      </c>
      <c r="I53" s="176">
        <v>30000</v>
      </c>
      <c r="J53" s="241">
        <v>0</v>
      </c>
      <c r="K53" s="176">
        <v>0</v>
      </c>
      <c r="L53" s="176">
        <v>0</v>
      </c>
      <c r="M53" s="176">
        <v>0</v>
      </c>
      <c r="N53" s="51">
        <f>I53+J53:J54</f>
        <v>30000</v>
      </c>
      <c r="O53" s="568"/>
    </row>
    <row r="54" spans="1:23" ht="40.049999999999997" customHeight="1" thickBot="1" x14ac:dyDescent="0.35">
      <c r="B54" s="118">
        <v>40</v>
      </c>
      <c r="C54" s="132" t="s">
        <v>2</v>
      </c>
      <c r="D54" s="242"/>
      <c r="E54" s="134"/>
      <c r="F54" s="175"/>
      <c r="G54" s="134"/>
      <c r="H54" s="243">
        <f>I54+J54+K54+L54+M54</f>
        <v>25307.851879999998</v>
      </c>
      <c r="I54" s="176">
        <v>25307.851879999998</v>
      </c>
      <c r="J54" s="244">
        <v>0</v>
      </c>
      <c r="K54" s="176">
        <v>0</v>
      </c>
      <c r="L54" s="176">
        <v>0</v>
      </c>
      <c r="M54" s="176">
        <v>0</v>
      </c>
      <c r="N54" s="51">
        <f>I54+J54</f>
        <v>25307.851879999998</v>
      </c>
      <c r="O54" s="568"/>
    </row>
    <row r="55" spans="1:23" s="97" customFormat="1" ht="40.049999999999997" customHeight="1" thickBot="1" x14ac:dyDescent="0.35">
      <c r="A55" s="22"/>
      <c r="B55" s="118">
        <v>41</v>
      </c>
      <c r="C55" s="221" t="s">
        <v>3</v>
      </c>
      <c r="D55" s="245"/>
      <c r="E55" s="180"/>
      <c r="F55" s="246"/>
      <c r="G55" s="180"/>
      <c r="H55" s="247">
        <f>I55+J55+K55+L55+M55</f>
        <v>973.57427000000007</v>
      </c>
      <c r="I55" s="184">
        <f>721+252.57427</f>
        <v>973.57427000000007</v>
      </c>
      <c r="J55" s="248">
        <v>0</v>
      </c>
      <c r="K55" s="184">
        <v>0</v>
      </c>
      <c r="L55" s="184">
        <v>0</v>
      </c>
      <c r="M55" s="184">
        <v>0</v>
      </c>
      <c r="N55" s="51">
        <f>I55+J55</f>
        <v>973.57427000000007</v>
      </c>
      <c r="O55" s="568"/>
      <c r="P55" s="97" t="s">
        <v>6</v>
      </c>
      <c r="V55" s="22"/>
      <c r="W55" s="22"/>
    </row>
    <row r="56" spans="1:23" s="97" customFormat="1" ht="126" customHeight="1" thickBot="1" x14ac:dyDescent="0.35">
      <c r="A56" s="22"/>
      <c r="B56" s="118">
        <v>42</v>
      </c>
      <c r="C56" s="249" t="s">
        <v>145</v>
      </c>
      <c r="D56" s="224" t="s">
        <v>120</v>
      </c>
      <c r="E56" s="112">
        <v>2023</v>
      </c>
      <c r="F56" s="225">
        <v>2024</v>
      </c>
      <c r="G56" s="225" t="s">
        <v>77</v>
      </c>
      <c r="H56" s="250">
        <f>I56+J56+K56+L56+M56</f>
        <v>4655</v>
      </c>
      <c r="I56" s="188">
        <f>I58+I59+I60</f>
        <v>4655</v>
      </c>
      <c r="J56" s="231">
        <f>SUM(J58:J60)</f>
        <v>0</v>
      </c>
      <c r="K56" s="231">
        <f>SUM(K58:K60)</f>
        <v>0</v>
      </c>
      <c r="L56" s="231">
        <f>SUM(L58:L60)</f>
        <v>0</v>
      </c>
      <c r="M56" s="208">
        <f>SUM(M58:M60)</f>
        <v>0</v>
      </c>
      <c r="N56" s="75">
        <v>0.1</v>
      </c>
      <c r="O56" s="73">
        <v>5320</v>
      </c>
      <c r="P56" s="80">
        <v>5320</v>
      </c>
      <c r="Q56" s="81">
        <f>Q58+Q59+Q60</f>
        <v>5320</v>
      </c>
      <c r="V56" s="22"/>
      <c r="W56" s="22"/>
    </row>
    <row r="57" spans="1:23" s="97" customFormat="1" ht="40.049999999999997" customHeight="1" thickBot="1" x14ac:dyDescent="0.35">
      <c r="A57" s="22"/>
      <c r="B57" s="118">
        <v>43</v>
      </c>
      <c r="C57" s="138" t="s">
        <v>0</v>
      </c>
      <c r="D57" s="190"/>
      <c r="E57" s="169"/>
      <c r="F57" s="191"/>
      <c r="G57" s="191"/>
      <c r="H57" s="251"/>
      <c r="I57" s="252"/>
      <c r="J57" s="253"/>
      <c r="K57" s="238"/>
      <c r="L57" s="238"/>
      <c r="M57" s="174"/>
      <c r="N57" s="569" t="s">
        <v>108</v>
      </c>
      <c r="O57" s="74"/>
      <c r="P57" s="80"/>
      <c r="Q57" s="82"/>
      <c r="V57" s="22"/>
      <c r="W57" s="22"/>
    </row>
    <row r="58" spans="1:23" s="97" customFormat="1" ht="40.049999999999997" customHeight="1" thickBot="1" x14ac:dyDescent="0.35">
      <c r="A58" s="22"/>
      <c r="B58" s="118">
        <v>44</v>
      </c>
      <c r="C58" s="138" t="s">
        <v>1</v>
      </c>
      <c r="D58" s="196"/>
      <c r="E58" s="134"/>
      <c r="F58" s="139"/>
      <c r="G58" s="139"/>
      <c r="H58" s="136">
        <f>I58+J58+K58+L58+M58</f>
        <v>0</v>
      </c>
      <c r="I58" s="254">
        <v>0</v>
      </c>
      <c r="J58" s="255">
        <v>0</v>
      </c>
      <c r="K58" s="176">
        <v>0</v>
      </c>
      <c r="L58" s="176">
        <v>0</v>
      </c>
      <c r="M58" s="177">
        <v>0</v>
      </c>
      <c r="N58" s="569"/>
      <c r="O58" s="74"/>
      <c r="P58" s="80"/>
      <c r="Q58" s="83">
        <v>0</v>
      </c>
      <c r="V58" s="22"/>
      <c r="W58" s="22"/>
    </row>
    <row r="59" spans="1:23" s="97" customFormat="1" ht="40.049999999999997" customHeight="1" thickBot="1" x14ac:dyDescent="0.35">
      <c r="A59" s="22"/>
      <c r="B59" s="118">
        <v>45</v>
      </c>
      <c r="C59" s="132" t="s">
        <v>2</v>
      </c>
      <c r="D59" s="196"/>
      <c r="E59" s="134"/>
      <c r="F59" s="139"/>
      <c r="G59" s="139"/>
      <c r="H59" s="136">
        <f>I59+J59+K59+L59+M59</f>
        <v>4422.25</v>
      </c>
      <c r="I59" s="254">
        <v>4422.25</v>
      </c>
      <c r="J59" s="255">
        <v>0</v>
      </c>
      <c r="K59" s="176">
        <v>0</v>
      </c>
      <c r="L59" s="176">
        <v>0</v>
      </c>
      <c r="M59" s="177">
        <v>0</v>
      </c>
      <c r="N59" s="569"/>
      <c r="O59" s="74">
        <f>O56/100*95</f>
        <v>5054</v>
      </c>
      <c r="P59" s="80">
        <v>4422.25</v>
      </c>
      <c r="Q59" s="83">
        <v>5054</v>
      </c>
      <c r="V59" s="22"/>
      <c r="W59" s="22"/>
    </row>
    <row r="60" spans="1:23" s="97" customFormat="1" ht="40.049999999999997" customHeight="1" thickBot="1" x14ac:dyDescent="0.35">
      <c r="A60" s="22"/>
      <c r="B60" s="118">
        <v>46</v>
      </c>
      <c r="C60" s="221" t="s">
        <v>3</v>
      </c>
      <c r="D60" s="200"/>
      <c r="E60" s="161"/>
      <c r="F60" s="201"/>
      <c r="G60" s="201"/>
      <c r="H60" s="140">
        <f>I60+J60+K60+L60+M60</f>
        <v>232.75</v>
      </c>
      <c r="I60" s="256">
        <v>232.75</v>
      </c>
      <c r="J60" s="257">
        <v>0</v>
      </c>
      <c r="K60" s="184">
        <v>0</v>
      </c>
      <c r="L60" s="184">
        <v>0</v>
      </c>
      <c r="M60" s="205">
        <v>0</v>
      </c>
      <c r="N60" s="569"/>
      <c r="O60" s="74">
        <f>O56/100*5</f>
        <v>266</v>
      </c>
      <c r="P60" s="80">
        <f>P56-P59</f>
        <v>897.75</v>
      </c>
      <c r="Q60" s="84">
        <v>266</v>
      </c>
      <c r="V60" s="22"/>
      <c r="W60" s="22"/>
    </row>
    <row r="61" spans="1:23" s="97" customFormat="1" ht="114.6" customHeight="1" thickBot="1" x14ac:dyDescent="0.35">
      <c r="A61" s="22"/>
      <c r="B61" s="118">
        <v>47</v>
      </c>
      <c r="C61" s="141" t="s">
        <v>78</v>
      </c>
      <c r="D61" s="258" t="s">
        <v>120</v>
      </c>
      <c r="E61" s="259">
        <v>2027</v>
      </c>
      <c r="F61" s="260">
        <v>2027</v>
      </c>
      <c r="G61" s="259" t="s">
        <v>72</v>
      </c>
      <c r="H61" s="261">
        <f>J61+K61+L61+M61</f>
        <v>480000</v>
      </c>
      <c r="I61" s="208">
        <f>SUM(I63:I65)</f>
        <v>0</v>
      </c>
      <c r="J61" s="262">
        <f>SUM(J63:J65)</f>
        <v>0</v>
      </c>
      <c r="K61" s="208">
        <f>SUM(K63:K65)</f>
        <v>0</v>
      </c>
      <c r="L61" s="208">
        <f>SUM(L63:L65)</f>
        <v>480000</v>
      </c>
      <c r="M61" s="262">
        <f>SUM(M63:M65)</f>
        <v>0</v>
      </c>
      <c r="N61" s="71">
        <v>500000</v>
      </c>
      <c r="O61" s="13"/>
      <c r="P61" s="23">
        <v>114000</v>
      </c>
      <c r="Q61" s="97">
        <v>79350</v>
      </c>
      <c r="R61" s="97">
        <v>34650</v>
      </c>
      <c r="S61" s="23">
        <f>P61-Q61-R61</f>
        <v>0</v>
      </c>
      <c r="V61" s="22"/>
      <c r="W61" s="22"/>
    </row>
    <row r="62" spans="1:23" s="97" customFormat="1" ht="40.049999999999997" customHeight="1" thickBot="1" x14ac:dyDescent="0.35">
      <c r="A62" s="22"/>
      <c r="B62" s="118">
        <v>48</v>
      </c>
      <c r="C62" s="125" t="s">
        <v>0</v>
      </c>
      <c r="D62" s="263"/>
      <c r="E62" s="127"/>
      <c r="F62" s="127"/>
      <c r="G62" s="127"/>
      <c r="H62" s="264"/>
      <c r="I62" s="210"/>
      <c r="J62" s="265"/>
      <c r="K62" s="238"/>
      <c r="L62" s="210"/>
      <c r="M62" s="211"/>
      <c r="N62" s="68"/>
      <c r="O62" s="16" t="s">
        <v>17</v>
      </c>
      <c r="P62" s="23" t="e">
        <f>#REF!+O62</f>
        <v>#REF!</v>
      </c>
      <c r="V62" s="22"/>
      <c r="W62" s="22"/>
    </row>
    <row r="63" spans="1:23" s="97" customFormat="1" ht="40.049999999999997" customHeight="1" thickBot="1" x14ac:dyDescent="0.35">
      <c r="A63" s="22"/>
      <c r="B63" s="118">
        <v>49</v>
      </c>
      <c r="C63" s="132" t="s">
        <v>1</v>
      </c>
      <c r="D63" s="196"/>
      <c r="E63" s="134"/>
      <c r="F63" s="134"/>
      <c r="G63" s="134"/>
      <c r="H63" s="266">
        <f>I63+J63+K63+L63+M63</f>
        <v>0</v>
      </c>
      <c r="I63" s="197">
        <v>0</v>
      </c>
      <c r="J63" s="267">
        <v>0</v>
      </c>
      <c r="K63" s="176">
        <v>0</v>
      </c>
      <c r="L63" s="176">
        <v>0</v>
      </c>
      <c r="M63" s="176">
        <v>0</v>
      </c>
      <c r="N63" s="68">
        <f>N61*99/100</f>
        <v>495000</v>
      </c>
      <c r="O63" s="16"/>
      <c r="P63" s="23">
        <f>Q63+R63+S63</f>
        <v>111731.4</v>
      </c>
      <c r="Q63" s="97">
        <f>Q61-Q64-Q65</f>
        <v>77770.934999999998</v>
      </c>
      <c r="R63" s="97">
        <f>R61-R64-R65</f>
        <v>33960.464999999997</v>
      </c>
      <c r="S63" s="97">
        <f>S61-S64-S65</f>
        <v>0</v>
      </c>
      <c r="V63" s="22"/>
      <c r="W63" s="22"/>
    </row>
    <row r="64" spans="1:23" s="97" customFormat="1" ht="40.049999999999997" customHeight="1" thickBot="1" x14ac:dyDescent="0.35">
      <c r="A64" s="22"/>
      <c r="B64" s="118">
        <v>50</v>
      </c>
      <c r="C64" s="132" t="s">
        <v>2</v>
      </c>
      <c r="D64" s="196"/>
      <c r="E64" s="134"/>
      <c r="F64" s="134"/>
      <c r="G64" s="134"/>
      <c r="H64" s="268">
        <f>J64+K64+L64+M64</f>
        <v>475200</v>
      </c>
      <c r="I64" s="197">
        <v>0</v>
      </c>
      <c r="J64" s="267">
        <v>0</v>
      </c>
      <c r="K64" s="176">
        <v>0</v>
      </c>
      <c r="L64" s="198">
        <v>475200</v>
      </c>
      <c r="M64" s="176">
        <v>0</v>
      </c>
      <c r="N64" s="68"/>
      <c r="O64" s="16"/>
      <c r="P64" s="23">
        <f>Q64+R64+S64</f>
        <v>1128.6000000000001</v>
      </c>
      <c r="Q64" s="97">
        <f>(Q61-Q65)/100</f>
        <v>785.56500000000005</v>
      </c>
      <c r="R64" s="97">
        <f>(R61-R65)/100</f>
        <v>343.03500000000003</v>
      </c>
      <c r="S64" s="97">
        <f>(S61-S65)/100</f>
        <v>0</v>
      </c>
      <c r="V64" s="22"/>
      <c r="W64" s="22"/>
    </row>
    <row r="65" spans="1:23" s="97" customFormat="1" ht="40.049999999999997" customHeight="1" thickBot="1" x14ac:dyDescent="0.35">
      <c r="A65" s="22"/>
      <c r="B65" s="118">
        <v>51</v>
      </c>
      <c r="C65" s="159" t="s">
        <v>3</v>
      </c>
      <c r="D65" s="200"/>
      <c r="E65" s="161"/>
      <c r="F65" s="161"/>
      <c r="G65" s="161"/>
      <c r="H65" s="269">
        <f>J65+K65+L65+M65</f>
        <v>4800</v>
      </c>
      <c r="I65" s="203">
        <v>0</v>
      </c>
      <c r="J65" s="270">
        <v>0</v>
      </c>
      <c r="K65" s="184">
        <v>0</v>
      </c>
      <c r="L65" s="204">
        <v>4800</v>
      </c>
      <c r="M65" s="212">
        <v>0</v>
      </c>
      <c r="N65" s="68">
        <f>N61/100</f>
        <v>5000</v>
      </c>
      <c r="O65" s="16"/>
      <c r="P65" s="23">
        <f>Q65+R65+S65</f>
        <v>1140</v>
      </c>
      <c r="Q65" s="97">
        <f>Q61/100</f>
        <v>793.5</v>
      </c>
      <c r="R65" s="97">
        <f>R61/100</f>
        <v>346.5</v>
      </c>
      <c r="S65" s="97">
        <f>S61/100</f>
        <v>0</v>
      </c>
      <c r="V65" s="22"/>
      <c r="W65" s="22"/>
    </row>
    <row r="66" spans="1:23" s="97" customFormat="1" ht="241.8" customHeight="1" thickBot="1" x14ac:dyDescent="0.35">
      <c r="A66" s="22"/>
      <c r="B66" s="118">
        <v>52</v>
      </c>
      <c r="C66" s="206" t="s">
        <v>163</v>
      </c>
      <c r="D66" s="224" t="s">
        <v>120</v>
      </c>
      <c r="E66" s="112">
        <v>2024</v>
      </c>
      <c r="F66" s="112">
        <v>2024</v>
      </c>
      <c r="G66" s="225" t="s">
        <v>73</v>
      </c>
      <c r="H66" s="250">
        <f>I66+J66+K66+L66+M66</f>
        <v>280310.98</v>
      </c>
      <c r="I66" s="152">
        <f>I68+I69+I70</f>
        <v>140155.49</v>
      </c>
      <c r="J66" s="231">
        <f>SUM(J68:J70)</f>
        <v>140155.49</v>
      </c>
      <c r="K66" s="208">
        <f>SUM(K68:K70)</f>
        <v>0</v>
      </c>
      <c r="L66" s="208">
        <f>SUM(L68:L70)</f>
        <v>0</v>
      </c>
      <c r="M66" s="208">
        <f>SUM(M68:M70)</f>
        <v>0</v>
      </c>
      <c r="N66" s="64">
        <v>150256.5001</v>
      </c>
      <c r="O66" s="97">
        <v>259862.5</v>
      </c>
      <c r="P66" s="97">
        <v>250000</v>
      </c>
      <c r="Q66" s="97">
        <v>428427.71</v>
      </c>
      <c r="V66" s="22"/>
      <c r="W66" s="22"/>
    </row>
    <row r="67" spans="1:23" s="97" customFormat="1" ht="40.049999999999997" customHeight="1" thickBot="1" x14ac:dyDescent="0.35">
      <c r="A67" s="22"/>
      <c r="B67" s="118">
        <v>53</v>
      </c>
      <c r="C67" s="226" t="s">
        <v>0</v>
      </c>
      <c r="D67" s="263"/>
      <c r="E67" s="127"/>
      <c r="F67" s="127"/>
      <c r="G67" s="228"/>
      <c r="H67" s="271"/>
      <c r="I67" s="272"/>
      <c r="J67" s="273"/>
      <c r="K67" s="238"/>
      <c r="L67" s="238"/>
      <c r="M67" s="274"/>
      <c r="N67" s="65"/>
      <c r="V67" s="22"/>
      <c r="W67" s="22"/>
    </row>
    <row r="68" spans="1:23" s="97" customFormat="1" ht="40.049999999999997" customHeight="1" thickBot="1" x14ac:dyDescent="0.35">
      <c r="A68" s="22"/>
      <c r="B68" s="118">
        <v>54</v>
      </c>
      <c r="C68" s="195" t="s">
        <v>1</v>
      </c>
      <c r="D68" s="196"/>
      <c r="E68" s="134"/>
      <c r="F68" s="134"/>
      <c r="G68" s="175"/>
      <c r="H68" s="275">
        <f>I68+J68+K68+L68+M68</f>
        <v>0</v>
      </c>
      <c r="I68" s="254">
        <v>0</v>
      </c>
      <c r="J68" s="255">
        <v>0</v>
      </c>
      <c r="K68" s="176">
        <v>0</v>
      </c>
      <c r="L68" s="176">
        <v>0</v>
      </c>
      <c r="M68" s="177">
        <v>0</v>
      </c>
      <c r="N68" s="65">
        <f>N66*99/100</f>
        <v>148753.93509899999</v>
      </c>
      <c r="O68" s="97">
        <f>O66-O69-O70</f>
        <v>254691.23624999999</v>
      </c>
      <c r="P68" s="97">
        <f>P66-P69-P70</f>
        <v>245025</v>
      </c>
      <c r="Q68" s="97">
        <f>Q66-Q69-Q70</f>
        <v>419901.998571</v>
      </c>
      <c r="V68" s="22"/>
      <c r="W68" s="22"/>
    </row>
    <row r="69" spans="1:23" s="97" customFormat="1" ht="40.049999999999997" customHeight="1" thickBot="1" x14ac:dyDescent="0.35">
      <c r="A69" s="22"/>
      <c r="B69" s="118">
        <v>55</v>
      </c>
      <c r="C69" s="195" t="s">
        <v>2</v>
      </c>
      <c r="D69" s="196"/>
      <c r="E69" s="134"/>
      <c r="F69" s="134"/>
      <c r="G69" s="175"/>
      <c r="H69" s="276">
        <f>I69+J69+K69+L69+M69</f>
        <v>277507.8702</v>
      </c>
      <c r="I69" s="277">
        <v>138753.9351</v>
      </c>
      <c r="J69" s="255">
        <v>138753.9351</v>
      </c>
      <c r="K69" s="176">
        <v>0</v>
      </c>
      <c r="L69" s="176">
        <v>0</v>
      </c>
      <c r="M69" s="177">
        <v>0</v>
      </c>
      <c r="N69" s="65"/>
      <c r="O69" s="97">
        <f>(O66-O70)/100</f>
        <v>2572.6387500000001</v>
      </c>
      <c r="P69" s="97">
        <f>(P66-P70)/100</f>
        <v>2475</v>
      </c>
      <c r="Q69" s="97">
        <f>(Q66-Q70)/100</f>
        <v>4241.4343289999997</v>
      </c>
      <c r="V69" s="22"/>
      <c r="W69" s="22"/>
    </row>
    <row r="70" spans="1:23" s="97" customFormat="1" ht="43.2" customHeight="1" thickBot="1" x14ac:dyDescent="0.35">
      <c r="A70" s="22"/>
      <c r="B70" s="118">
        <v>56</v>
      </c>
      <c r="C70" s="229" t="s">
        <v>3</v>
      </c>
      <c r="D70" s="222"/>
      <c r="E70" s="180"/>
      <c r="F70" s="180"/>
      <c r="G70" s="181"/>
      <c r="H70" s="278">
        <f>I70+J70+K70+K70+L70+M70</f>
        <v>2803.1098000000002</v>
      </c>
      <c r="I70" s="279">
        <v>1401.5549000000001</v>
      </c>
      <c r="J70" s="280">
        <v>1401.5549000000001</v>
      </c>
      <c r="K70" s="281">
        <v>0</v>
      </c>
      <c r="L70" s="281">
        <v>0</v>
      </c>
      <c r="M70" s="185">
        <v>0</v>
      </c>
      <c r="N70" s="65">
        <f>N66/100</f>
        <v>1502.5650009999999</v>
      </c>
      <c r="O70" s="97">
        <f>O66/100</f>
        <v>2598.625</v>
      </c>
      <c r="P70" s="97">
        <f>P66/100</f>
        <v>2500</v>
      </c>
      <c r="Q70" s="97">
        <f>Q66/100</f>
        <v>4284.2771000000002</v>
      </c>
      <c r="V70" s="22"/>
      <c r="W70" s="22"/>
    </row>
    <row r="71" spans="1:23" s="97" customFormat="1" ht="127.8" customHeight="1" thickBot="1" x14ac:dyDescent="0.35">
      <c r="A71" s="22"/>
      <c r="B71" s="118">
        <v>57</v>
      </c>
      <c r="C71" s="282" t="s">
        <v>155</v>
      </c>
      <c r="D71" s="224" t="s">
        <v>120</v>
      </c>
      <c r="E71" s="225">
        <v>2023</v>
      </c>
      <c r="F71" s="225">
        <v>2023</v>
      </c>
      <c r="G71" s="112" t="s">
        <v>28</v>
      </c>
      <c r="H71" s="283">
        <f>I71+J71+K71+L71+M71</f>
        <v>8365</v>
      </c>
      <c r="I71" s="188">
        <f>I73+I74+I75</f>
        <v>8365</v>
      </c>
      <c r="J71" s="284">
        <f>SUM(J73:J75)</f>
        <v>0</v>
      </c>
      <c r="K71" s="188">
        <f>SUM(K73:K75)</f>
        <v>0</v>
      </c>
      <c r="L71" s="188">
        <f>SUM(L73:L75)</f>
        <v>0</v>
      </c>
      <c r="M71" s="188">
        <f>SUM(M73:M75)</f>
        <v>0</v>
      </c>
      <c r="N71" s="85">
        <v>8365</v>
      </c>
      <c r="V71" s="22"/>
      <c r="W71" s="22"/>
    </row>
    <row r="72" spans="1:23" s="97" customFormat="1" ht="37.200000000000003" customHeight="1" thickBot="1" x14ac:dyDescent="0.35">
      <c r="A72" s="22"/>
      <c r="B72" s="118">
        <v>58</v>
      </c>
      <c r="C72" s="189" t="s">
        <v>0</v>
      </c>
      <c r="D72" s="285"/>
      <c r="E72" s="127"/>
      <c r="F72" s="170"/>
      <c r="G72" s="128"/>
      <c r="H72" s="216"/>
      <c r="I72" s="286"/>
      <c r="J72" s="287"/>
      <c r="K72" s="288"/>
      <c r="L72" s="288"/>
      <c r="M72" s="289"/>
      <c r="N72" s="86"/>
      <c r="V72" s="22"/>
      <c r="W72" s="22"/>
    </row>
    <row r="73" spans="1:23" s="97" customFormat="1" ht="37.200000000000003" customHeight="1" thickBot="1" x14ac:dyDescent="0.35">
      <c r="A73" s="22"/>
      <c r="B73" s="118">
        <v>59</v>
      </c>
      <c r="C73" s="195" t="s">
        <v>1</v>
      </c>
      <c r="D73" s="290"/>
      <c r="E73" s="134"/>
      <c r="F73" s="175"/>
      <c r="G73" s="139"/>
      <c r="H73" s="291">
        <f>I73+J73+K73+L73+M73</f>
        <v>0</v>
      </c>
      <c r="I73" s="292">
        <v>0</v>
      </c>
      <c r="J73" s="254">
        <v>0</v>
      </c>
      <c r="K73" s="197">
        <v>0</v>
      </c>
      <c r="L73" s="197">
        <v>0</v>
      </c>
      <c r="M73" s="244">
        <v>0</v>
      </c>
      <c r="N73" s="86"/>
      <c r="V73" s="22"/>
      <c r="W73" s="22"/>
    </row>
    <row r="74" spans="1:23" s="97" customFormat="1" ht="37.200000000000003" customHeight="1" thickBot="1" x14ac:dyDescent="0.35">
      <c r="A74" s="22"/>
      <c r="B74" s="118">
        <v>60</v>
      </c>
      <c r="C74" s="195" t="s">
        <v>2</v>
      </c>
      <c r="D74" s="290"/>
      <c r="E74" s="134"/>
      <c r="F74" s="175"/>
      <c r="G74" s="139"/>
      <c r="H74" s="291">
        <f>I74+J74+K74+L74+M74</f>
        <v>7946.75</v>
      </c>
      <c r="I74" s="292">
        <v>7946.75</v>
      </c>
      <c r="J74" s="254">
        <v>0</v>
      </c>
      <c r="K74" s="197">
        <v>0</v>
      </c>
      <c r="L74" s="197">
        <v>0</v>
      </c>
      <c r="M74" s="244">
        <v>0</v>
      </c>
      <c r="N74" s="86">
        <f>N71/100*95</f>
        <v>7946.7500000000009</v>
      </c>
      <c r="V74" s="22"/>
      <c r="W74" s="22"/>
    </row>
    <row r="75" spans="1:23" s="97" customFormat="1" ht="37.200000000000003" customHeight="1" thickBot="1" x14ac:dyDescent="0.35">
      <c r="A75" s="22"/>
      <c r="B75" s="118">
        <v>61</v>
      </c>
      <c r="C75" s="229" t="s">
        <v>3</v>
      </c>
      <c r="D75" s="293"/>
      <c r="E75" s="161"/>
      <c r="F75" s="181"/>
      <c r="G75" s="201"/>
      <c r="H75" s="294">
        <f>I75+J75+K75+L75+M75</f>
        <v>418.25</v>
      </c>
      <c r="I75" s="295">
        <v>418.25</v>
      </c>
      <c r="J75" s="279">
        <v>0</v>
      </c>
      <c r="K75" s="296">
        <v>0</v>
      </c>
      <c r="L75" s="296">
        <v>0</v>
      </c>
      <c r="M75" s="248">
        <v>0</v>
      </c>
      <c r="N75" s="86">
        <f>N71/100*5</f>
        <v>418.25</v>
      </c>
      <c r="V75" s="22"/>
      <c r="W75" s="22"/>
    </row>
    <row r="76" spans="1:23" s="97" customFormat="1" ht="223.2" customHeight="1" thickBot="1" x14ac:dyDescent="0.35">
      <c r="A76" s="22"/>
      <c r="B76" s="118">
        <v>62</v>
      </c>
      <c r="C76" s="297" t="s">
        <v>156</v>
      </c>
      <c r="D76" s="224" t="s">
        <v>120</v>
      </c>
      <c r="E76" s="121">
        <v>2024</v>
      </c>
      <c r="F76" s="143">
        <v>2024</v>
      </c>
      <c r="G76" s="112" t="s">
        <v>28</v>
      </c>
      <c r="H76" s="298">
        <f>I76+J76+K76+L76+M76</f>
        <v>10101.0101</v>
      </c>
      <c r="I76" s="188">
        <f>I78+I79+I80</f>
        <v>10101.0101</v>
      </c>
      <c r="J76" s="284">
        <f>SUM(J78:J80)</f>
        <v>0</v>
      </c>
      <c r="K76" s="188">
        <f>SUM(K78:K80)</f>
        <v>0</v>
      </c>
      <c r="L76" s="188">
        <f>SUM(L78:L80)</f>
        <v>0</v>
      </c>
      <c r="M76" s="188">
        <f>SUM(M78:M80)</f>
        <v>0</v>
      </c>
      <c r="N76" s="85">
        <v>10000</v>
      </c>
      <c r="V76" s="22"/>
      <c r="W76" s="22"/>
    </row>
    <row r="77" spans="1:23" s="97" customFormat="1" ht="37.200000000000003" customHeight="1" thickBot="1" x14ac:dyDescent="0.35">
      <c r="A77" s="22"/>
      <c r="B77" s="118">
        <v>63</v>
      </c>
      <c r="C77" s="125" t="s">
        <v>0</v>
      </c>
      <c r="D77" s="299"/>
      <c r="E77" s="127"/>
      <c r="F77" s="228"/>
      <c r="G77" s="128"/>
      <c r="H77" s="216"/>
      <c r="I77" s="289"/>
      <c r="J77" s="287"/>
      <c r="K77" s="288"/>
      <c r="L77" s="300"/>
      <c r="M77" s="301"/>
      <c r="N77" s="86"/>
      <c r="V77" s="22"/>
      <c r="W77" s="22"/>
    </row>
    <row r="78" spans="1:23" s="97" customFormat="1" ht="37.200000000000003" customHeight="1" thickBot="1" x14ac:dyDescent="0.35">
      <c r="A78" s="22"/>
      <c r="B78" s="118">
        <v>64</v>
      </c>
      <c r="C78" s="132" t="s">
        <v>1</v>
      </c>
      <c r="D78" s="242"/>
      <c r="E78" s="134"/>
      <c r="F78" s="175"/>
      <c r="G78" s="139"/>
      <c r="H78" s="291">
        <f>I78+J78+K78+L78+M78</f>
        <v>0</v>
      </c>
      <c r="I78" s="244">
        <v>0</v>
      </c>
      <c r="J78" s="254">
        <v>0</v>
      </c>
      <c r="K78" s="197">
        <v>0</v>
      </c>
      <c r="L78" s="292">
        <v>0</v>
      </c>
      <c r="M78" s="197">
        <v>0</v>
      </c>
      <c r="N78" s="86"/>
      <c r="V78" s="22"/>
      <c r="W78" s="22"/>
    </row>
    <row r="79" spans="1:23" s="97" customFormat="1" ht="37.200000000000003" customHeight="1" thickBot="1" x14ac:dyDescent="0.35">
      <c r="A79" s="22"/>
      <c r="B79" s="118">
        <v>65</v>
      </c>
      <c r="C79" s="132" t="s">
        <v>2</v>
      </c>
      <c r="D79" s="242"/>
      <c r="E79" s="134"/>
      <c r="F79" s="175"/>
      <c r="G79" s="139"/>
      <c r="H79" s="291">
        <f>I79+J79+K79+L79+M79</f>
        <v>10000</v>
      </c>
      <c r="I79" s="244">
        <v>10000</v>
      </c>
      <c r="J79" s="254">
        <v>0</v>
      </c>
      <c r="K79" s="197">
        <v>0</v>
      </c>
      <c r="L79" s="292">
        <v>0</v>
      </c>
      <c r="M79" s="197">
        <v>0</v>
      </c>
      <c r="N79" s="86">
        <f>N76/100*95</f>
        <v>9500</v>
      </c>
      <c r="V79" s="22"/>
      <c r="W79" s="22"/>
    </row>
    <row r="80" spans="1:23" s="97" customFormat="1" ht="37.200000000000003" customHeight="1" thickBot="1" x14ac:dyDescent="0.35">
      <c r="A80" s="22"/>
      <c r="B80" s="118">
        <v>66</v>
      </c>
      <c r="C80" s="159" t="s">
        <v>3</v>
      </c>
      <c r="D80" s="302"/>
      <c r="E80" s="161"/>
      <c r="F80" s="202"/>
      <c r="G80" s="201"/>
      <c r="H80" s="294">
        <f>I80+J80+K80+L80+M80</f>
        <v>101.01009999999999</v>
      </c>
      <c r="I80" s="303">
        <v>101.01009999999999</v>
      </c>
      <c r="J80" s="256">
        <v>0</v>
      </c>
      <c r="K80" s="203">
        <v>0</v>
      </c>
      <c r="L80" s="304">
        <v>0</v>
      </c>
      <c r="M80" s="203">
        <v>0</v>
      </c>
      <c r="N80" s="86">
        <f>N76/100*5</f>
        <v>500</v>
      </c>
      <c r="V80" s="22"/>
      <c r="W80" s="22"/>
    </row>
    <row r="81" spans="1:23" s="97" customFormat="1" ht="98.4" customHeight="1" thickBot="1" x14ac:dyDescent="0.35">
      <c r="A81" s="22"/>
      <c r="B81" s="118">
        <v>67</v>
      </c>
      <c r="C81" s="147" t="s">
        <v>160</v>
      </c>
      <c r="D81" s="258"/>
      <c r="E81" s="149"/>
      <c r="F81" s="259"/>
      <c r="G81" s="305" t="s">
        <v>33</v>
      </c>
      <c r="H81" s="306">
        <f>I81+J81+K81+L81+M81</f>
        <v>8312757.6228900002</v>
      </c>
      <c r="I81" s="307">
        <f>SUM(I83:I85)</f>
        <v>837732.22288999998</v>
      </c>
      <c r="J81" s="308">
        <f>SUM(J83:J85)</f>
        <v>684946.34</v>
      </c>
      <c r="K81" s="262">
        <f>SUM(K83:K85)</f>
        <v>1358233.31</v>
      </c>
      <c r="L81" s="262">
        <f>SUM(L83:L85)</f>
        <v>236082</v>
      </c>
      <c r="M81" s="309">
        <f>SUM(M83:M85)</f>
        <v>5195763.75</v>
      </c>
      <c r="N81" s="42"/>
      <c r="O81" s="16"/>
      <c r="P81" s="23" t="e">
        <f>P83+P84+P85</f>
        <v>#REF!</v>
      </c>
      <c r="Q81" s="23" t="e">
        <f>#REF!+#REF!+#REF!+#REF!+#REF!+#REF!+#REF!+#REF!</f>
        <v>#REF!</v>
      </c>
      <c r="R81" s="23" t="e">
        <f>#REF!+#REF!+I91+#REF!+#REF!+#REF!+#REF!+#REF!</f>
        <v>#REF!</v>
      </c>
      <c r="S81" s="23" t="e">
        <f>#REF!+#REF!+J91+#REF!+#REF!+#REF!+J126+#REF!</f>
        <v>#REF!</v>
      </c>
      <c r="T81" s="23" t="e">
        <f>#REF!+#REF!+M91+#REF!+#REF!+#REF!+I126+#REF!</f>
        <v>#REF!</v>
      </c>
      <c r="V81" s="22"/>
      <c r="W81" s="22"/>
    </row>
    <row r="82" spans="1:23" s="97" customFormat="1" ht="40.049999999999997" customHeight="1" thickBot="1" x14ac:dyDescent="0.35">
      <c r="A82" s="22"/>
      <c r="B82" s="118">
        <v>68</v>
      </c>
      <c r="C82" s="226" t="s">
        <v>0</v>
      </c>
      <c r="D82" s="227"/>
      <c r="E82" s="128"/>
      <c r="F82" s="127"/>
      <c r="G82" s="128"/>
      <c r="H82" s="154"/>
      <c r="I82" s="310"/>
      <c r="J82" s="155"/>
      <c r="K82" s="131"/>
      <c r="L82" s="131"/>
      <c r="M82" s="155"/>
      <c r="N82" s="50"/>
      <c r="O82" s="16"/>
      <c r="P82" s="23" t="e">
        <f>#REF!+#REF!+#REF!+#REF!+#REF!+#REF!+#REF!+#REF!+#REF!</f>
        <v>#REF!</v>
      </c>
      <c r="V82" s="22"/>
      <c r="W82" s="22"/>
    </row>
    <row r="83" spans="1:23" s="97" customFormat="1" ht="40.049999999999997" customHeight="1" thickBot="1" x14ac:dyDescent="0.35">
      <c r="A83" s="22"/>
      <c r="B83" s="118">
        <v>69</v>
      </c>
      <c r="C83" s="195" t="s">
        <v>1</v>
      </c>
      <c r="D83" s="196"/>
      <c r="E83" s="139"/>
      <c r="F83" s="134"/>
      <c r="G83" s="191"/>
      <c r="H83" s="157">
        <f>I83+J83+K83+L83+M83</f>
        <v>7596906.6689570006</v>
      </c>
      <c r="I83" s="237">
        <f t="shared" ref="I83:M85" si="3">I88+I93+I98+I103+I108+I113+I118+I123+I128+I133+I138+I143+I148+I153+I158+I163+I168+I173+I178</f>
        <v>777895.01503000001</v>
      </c>
      <c r="J83" s="237">
        <f t="shared" si="3"/>
        <v>676678.957834</v>
      </c>
      <c r="K83" s="237">
        <f t="shared" si="3"/>
        <v>1331204.467131</v>
      </c>
      <c r="L83" s="130">
        <f t="shared" si="3"/>
        <v>0</v>
      </c>
      <c r="M83" s="237">
        <f t="shared" si="3"/>
        <v>4811128.2289620005</v>
      </c>
      <c r="N83" s="50"/>
      <c r="O83" s="16"/>
      <c r="P83" s="23" t="e">
        <f>#REF!+#REF!+#REF!+#REF!+#REF!+#REF!+#REF!+#REF!+#REF!</f>
        <v>#REF!</v>
      </c>
      <c r="Q83" s="23" t="e">
        <f>#REF!+#REF!+#REF!+#REF!+#REF!+#REF!+#REF!+#REF!+#REF!</f>
        <v>#REF!</v>
      </c>
      <c r="R83" s="23" t="e">
        <f>#REF!+#REF!+I93+#REF!+I113+#REF!+I118+#REF!+#REF!</f>
        <v>#REF!</v>
      </c>
      <c r="S83" s="23" t="e">
        <f>#REF!+#REF!+J93+#REF!+J113+#REF!+J118+J128+#REF!</f>
        <v>#REF!</v>
      </c>
      <c r="T83" s="23" t="e">
        <f>#REF!+#REF!+M93+#REF!+M113+#REF!+M118+I128+#REF!</f>
        <v>#REF!</v>
      </c>
      <c r="V83" s="22"/>
      <c r="W83" s="22"/>
    </row>
    <row r="84" spans="1:23" s="97" customFormat="1" ht="40.049999999999997" customHeight="1" thickBot="1" x14ac:dyDescent="0.35">
      <c r="A84" s="22"/>
      <c r="B84" s="118">
        <v>70</v>
      </c>
      <c r="C84" s="195" t="s">
        <v>2</v>
      </c>
      <c r="D84" s="196"/>
      <c r="E84" s="139"/>
      <c r="F84" s="134"/>
      <c r="G84" s="139"/>
      <c r="H84" s="157">
        <f>I84+J84+K84+L84+M84</f>
        <v>610814.86774371006</v>
      </c>
      <c r="I84" s="237">
        <f t="shared" si="3"/>
        <v>37109.12727071</v>
      </c>
      <c r="J84" s="237">
        <f t="shared" si="3"/>
        <v>4112.9187659999998</v>
      </c>
      <c r="K84" s="237">
        <f t="shared" si="3"/>
        <v>13446.509769</v>
      </c>
      <c r="L84" s="237">
        <f t="shared" si="3"/>
        <v>226297.9</v>
      </c>
      <c r="M84" s="237">
        <f t="shared" si="3"/>
        <v>329848.411938</v>
      </c>
      <c r="N84" s="50"/>
      <c r="O84" s="16"/>
      <c r="P84" s="23" t="e">
        <f>#REF!+#REF!+#REF!+#REF!+#REF!+#REF!+#REF!+#REF!+#REF!</f>
        <v>#REF!</v>
      </c>
      <c r="Q84" s="23" t="e">
        <f>#REF!+#REF!+#REF!+#REF!+#REF!+#REF!+#REF!+#REF!+#REF!</f>
        <v>#REF!</v>
      </c>
      <c r="R84" s="23" t="e">
        <f>#REF!+#REF!+I94+#REF!+I114+#REF!+I119+#REF!+#REF!</f>
        <v>#REF!</v>
      </c>
      <c r="S84" s="23" t="e">
        <f>#REF!+#REF!+J94+#REF!+J114+#REF!+J119+J129+#REF!</f>
        <v>#REF!</v>
      </c>
      <c r="T84" s="23" t="e">
        <f>#REF!+#REF!+M94+#REF!+M114+#REF!+M119+I129+#REF!</f>
        <v>#REF!</v>
      </c>
      <c r="V84" s="22"/>
      <c r="W84" s="22"/>
    </row>
    <row r="85" spans="1:23" s="97" customFormat="1" ht="40.049999999999997" customHeight="1" thickBot="1" x14ac:dyDescent="0.35">
      <c r="A85" s="22"/>
      <c r="B85" s="118">
        <v>71</v>
      </c>
      <c r="C85" s="199" t="s">
        <v>3</v>
      </c>
      <c r="D85" s="200"/>
      <c r="E85" s="201"/>
      <c r="F85" s="161"/>
      <c r="G85" s="201"/>
      <c r="H85" s="162">
        <f>I85+J85+K85+L85+M85</f>
        <v>105036.0861892892</v>
      </c>
      <c r="I85" s="237">
        <f t="shared" si="3"/>
        <v>22728.080589290003</v>
      </c>
      <c r="J85" s="237">
        <f t="shared" si="3"/>
        <v>4154.4634000000005</v>
      </c>
      <c r="K85" s="237">
        <f t="shared" si="3"/>
        <v>13582.3331</v>
      </c>
      <c r="L85" s="237">
        <f t="shared" si="3"/>
        <v>9784.1</v>
      </c>
      <c r="M85" s="237">
        <f t="shared" si="3"/>
        <v>54787.109099999187</v>
      </c>
      <c r="N85" s="50"/>
      <c r="O85" s="16"/>
      <c r="P85" s="23" t="e">
        <f>#REF!+#REF!+#REF!+#REF!+#REF!+#REF!+#REF!+#REF!+#REF!</f>
        <v>#REF!</v>
      </c>
      <c r="Q85" s="23" t="e">
        <f>#REF!+#REF!+#REF!+#REF!+#REF!+#REF!+#REF!+#REF!+#REF!</f>
        <v>#REF!</v>
      </c>
      <c r="R85" s="23" t="e">
        <f>#REF!+#REF!+I95+#REF!+I115+#REF!+I120+#REF!+#REF!</f>
        <v>#REF!</v>
      </c>
      <c r="S85" s="23" t="e">
        <f>#REF!+#REF!+J95+#REF!+J115+#REF!+J120+J130+#REF!</f>
        <v>#REF!</v>
      </c>
      <c r="T85" s="23" t="e">
        <f>#REF!+#REF!+M95+#REF!+M115+#REF!+M120+I130+#REF!</f>
        <v>#REF!</v>
      </c>
      <c r="V85" s="22"/>
      <c r="W85" s="22"/>
    </row>
    <row r="86" spans="1:23" s="97" customFormat="1" ht="140.4" customHeight="1" thickBot="1" x14ac:dyDescent="0.35">
      <c r="A86" s="22"/>
      <c r="B86" s="118">
        <v>72</v>
      </c>
      <c r="C86" s="311" t="s">
        <v>79</v>
      </c>
      <c r="D86" s="312" t="s">
        <v>120</v>
      </c>
      <c r="E86" s="313">
        <v>2023</v>
      </c>
      <c r="F86" s="314">
        <v>2024</v>
      </c>
      <c r="G86" s="315" t="s">
        <v>80</v>
      </c>
      <c r="H86" s="298">
        <f>I86+J86+K86+L86+M86</f>
        <v>13387.945170000001</v>
      </c>
      <c r="I86" s="316">
        <f>I88+I89+I90</f>
        <v>13387.945170000001</v>
      </c>
      <c r="J86" s="316">
        <f>J88+J89+J90</f>
        <v>0</v>
      </c>
      <c r="K86" s="208">
        <f>SUM(K88:K90)</f>
        <v>0</v>
      </c>
      <c r="L86" s="208">
        <f>SUM(L88:L90)</f>
        <v>0</v>
      </c>
      <c r="M86" s="317">
        <f>M88+M89+M90</f>
        <v>0</v>
      </c>
      <c r="N86" s="70">
        <v>13330.317489999999</v>
      </c>
      <c r="O86" s="16"/>
      <c r="P86" s="79">
        <v>13387.945170000001</v>
      </c>
      <c r="Q86" s="23">
        <v>18879.708460000002</v>
      </c>
      <c r="R86" s="23"/>
      <c r="S86" s="23"/>
      <c r="T86" s="23"/>
      <c r="V86" s="22"/>
      <c r="W86" s="22"/>
    </row>
    <row r="87" spans="1:23" s="97" customFormat="1" ht="40.049999999999997" customHeight="1" thickBot="1" x14ac:dyDescent="0.35">
      <c r="A87" s="22"/>
      <c r="B87" s="118">
        <v>73</v>
      </c>
      <c r="C87" s="318" t="s">
        <v>0</v>
      </c>
      <c r="D87" s="227"/>
      <c r="E87" s="127"/>
      <c r="F87" s="128"/>
      <c r="G87" s="128"/>
      <c r="H87" s="216"/>
      <c r="I87" s="286"/>
      <c r="J87" s="287"/>
      <c r="K87" s="238"/>
      <c r="L87" s="238"/>
      <c r="M87" s="301"/>
      <c r="N87" s="50"/>
      <c r="O87" s="568" t="s">
        <v>109</v>
      </c>
      <c r="P87" s="54"/>
      <c r="Q87" s="23"/>
      <c r="R87" s="23"/>
      <c r="S87" s="23"/>
      <c r="T87" s="23"/>
      <c r="V87" s="22"/>
      <c r="W87" s="22"/>
    </row>
    <row r="88" spans="1:23" s="97" customFormat="1" ht="40.049999999999997" customHeight="1" thickBot="1" x14ac:dyDescent="0.35">
      <c r="A88" s="22"/>
      <c r="B88" s="118">
        <v>74</v>
      </c>
      <c r="C88" s="319" t="s">
        <v>1</v>
      </c>
      <c r="D88" s="196"/>
      <c r="E88" s="134"/>
      <c r="F88" s="139"/>
      <c r="G88" s="139"/>
      <c r="H88" s="291">
        <f>I88+J88+K88+L88+M88</f>
        <v>0</v>
      </c>
      <c r="I88" s="292">
        <v>0</v>
      </c>
      <c r="J88" s="254">
        <v>0</v>
      </c>
      <c r="K88" s="176">
        <v>0</v>
      </c>
      <c r="L88" s="176">
        <v>0</v>
      </c>
      <c r="M88" s="197">
        <v>0</v>
      </c>
      <c r="N88" s="50">
        <f>I88+J88</f>
        <v>0</v>
      </c>
      <c r="O88" s="568"/>
      <c r="P88" s="54"/>
      <c r="Q88" s="23">
        <v>18503.996288634044</v>
      </c>
      <c r="R88" s="23"/>
      <c r="S88" s="23"/>
      <c r="T88" s="23"/>
      <c r="V88" s="22"/>
      <c r="W88" s="22"/>
    </row>
    <row r="89" spans="1:23" s="97" customFormat="1" ht="40.049999999999997" customHeight="1" thickBot="1" x14ac:dyDescent="0.35">
      <c r="A89" s="22"/>
      <c r="B89" s="118">
        <v>75</v>
      </c>
      <c r="C89" s="319" t="s">
        <v>2</v>
      </c>
      <c r="D89" s="196"/>
      <c r="E89" s="134"/>
      <c r="F89" s="139"/>
      <c r="G89" s="139"/>
      <c r="H89" s="291">
        <f>I89+J89+K89+L89+M89</f>
        <v>13254.065720000001</v>
      </c>
      <c r="I89" s="292">
        <v>13254.065720000001</v>
      </c>
      <c r="J89" s="254">
        <v>0</v>
      </c>
      <c r="K89" s="176">
        <v>0</v>
      </c>
      <c r="L89" s="176">
        <v>0</v>
      </c>
      <c r="M89" s="197">
        <v>0</v>
      </c>
      <c r="N89" s="50">
        <f>I89+J89</f>
        <v>13254.065720000001</v>
      </c>
      <c r="O89" s="568"/>
      <c r="P89" s="54">
        <f>P86*99/100</f>
        <v>13254.0657183</v>
      </c>
      <c r="Q89" s="23">
        <v>186.9120819266852</v>
      </c>
      <c r="R89" s="23"/>
      <c r="S89" s="23"/>
      <c r="T89" s="23"/>
      <c r="V89" s="22"/>
      <c r="W89" s="22"/>
    </row>
    <row r="90" spans="1:23" s="97" customFormat="1" ht="40.049999999999997" customHeight="1" thickBot="1" x14ac:dyDescent="0.35">
      <c r="A90" s="22"/>
      <c r="B90" s="118">
        <v>76</v>
      </c>
      <c r="C90" s="320" t="s">
        <v>3</v>
      </c>
      <c r="D90" s="200"/>
      <c r="E90" s="161"/>
      <c r="F90" s="201"/>
      <c r="G90" s="201"/>
      <c r="H90" s="294">
        <f>I90+J90+K90+L90+M90</f>
        <v>133.87944999999999</v>
      </c>
      <c r="I90" s="304">
        <v>133.87944999999999</v>
      </c>
      <c r="J90" s="256">
        <v>0</v>
      </c>
      <c r="K90" s="184">
        <v>0</v>
      </c>
      <c r="L90" s="184">
        <v>0</v>
      </c>
      <c r="M90" s="203">
        <v>0</v>
      </c>
      <c r="N90" s="50">
        <f>I90+J90</f>
        <v>133.87944999999999</v>
      </c>
      <c r="O90" s="568"/>
      <c r="P90" s="54">
        <f>P86*1/100</f>
        <v>133.8794517</v>
      </c>
      <c r="Q90" s="23">
        <v>188.80008943927322</v>
      </c>
      <c r="R90" s="23"/>
      <c r="S90" s="23"/>
      <c r="T90" s="23"/>
      <c r="V90" s="22"/>
      <c r="W90" s="22"/>
    </row>
    <row r="91" spans="1:23" s="97" customFormat="1" ht="84.6" customHeight="1" thickBot="1" x14ac:dyDescent="0.35">
      <c r="A91" s="22"/>
      <c r="B91" s="118">
        <v>77</v>
      </c>
      <c r="C91" s="119" t="s">
        <v>81</v>
      </c>
      <c r="D91" s="258" t="s">
        <v>121</v>
      </c>
      <c r="E91" s="259">
        <v>2024</v>
      </c>
      <c r="F91" s="259">
        <v>2024</v>
      </c>
      <c r="G91" s="259" t="s">
        <v>74</v>
      </c>
      <c r="H91" s="321">
        <f>I91+J91+K91+L91+M91</f>
        <v>114988.62458999999</v>
      </c>
      <c r="I91" s="322">
        <f>I93+I94+I95</f>
        <v>114988.62458999999</v>
      </c>
      <c r="J91" s="323">
        <f>SUM(J93:J95)</f>
        <v>0</v>
      </c>
      <c r="K91" s="208">
        <f>SUM(K93:K95)</f>
        <v>0</v>
      </c>
      <c r="L91" s="208">
        <f>SUM(L93:L95)</f>
        <v>0</v>
      </c>
      <c r="M91" s="262">
        <f>SUM(M93:M95)</f>
        <v>0</v>
      </c>
      <c r="N91" s="10"/>
      <c r="O91" s="13" t="s">
        <v>7</v>
      </c>
      <c r="V91" s="22"/>
      <c r="W91" s="22"/>
    </row>
    <row r="92" spans="1:23" s="97" customFormat="1" ht="40.049999999999997" customHeight="1" thickBot="1" x14ac:dyDescent="0.35">
      <c r="A92" s="22"/>
      <c r="B92" s="118">
        <v>78</v>
      </c>
      <c r="C92" s="226" t="s">
        <v>0</v>
      </c>
      <c r="D92" s="227"/>
      <c r="E92" s="127"/>
      <c r="F92" s="228"/>
      <c r="G92" s="127"/>
      <c r="H92" s="324"/>
      <c r="I92" s="219"/>
      <c r="J92" s="325"/>
      <c r="K92" s="238"/>
      <c r="L92" s="238"/>
      <c r="M92" s="326"/>
      <c r="N92" s="50"/>
      <c r="O92" s="16"/>
      <c r="V92" s="22"/>
      <c r="W92" s="22"/>
    </row>
    <row r="93" spans="1:23" s="97" customFormat="1" ht="40.049999999999997" customHeight="1" thickBot="1" x14ac:dyDescent="0.35">
      <c r="A93" s="22"/>
      <c r="B93" s="118">
        <v>79</v>
      </c>
      <c r="C93" s="195" t="s">
        <v>1</v>
      </c>
      <c r="D93" s="196"/>
      <c r="E93" s="134"/>
      <c r="F93" s="175"/>
      <c r="G93" s="134"/>
      <c r="H93" s="243">
        <f>I93+J93+K93+L93+M93</f>
        <v>109358.8</v>
      </c>
      <c r="I93" s="327">
        <v>109358.8</v>
      </c>
      <c r="J93" s="177">
        <v>0</v>
      </c>
      <c r="K93" s="176">
        <v>0</v>
      </c>
      <c r="L93" s="176">
        <v>0</v>
      </c>
      <c r="M93" s="177">
        <v>0</v>
      </c>
      <c r="N93" s="50"/>
      <c r="O93" s="16"/>
      <c r="V93" s="22"/>
      <c r="W93" s="22"/>
    </row>
    <row r="94" spans="1:23" s="97" customFormat="1" ht="40.049999999999997" customHeight="1" thickBot="1" x14ac:dyDescent="0.35">
      <c r="A94" s="22"/>
      <c r="B94" s="118">
        <v>80</v>
      </c>
      <c r="C94" s="195" t="s">
        <v>2</v>
      </c>
      <c r="D94" s="196"/>
      <c r="E94" s="134"/>
      <c r="F94" s="175"/>
      <c r="G94" s="134"/>
      <c r="H94" s="243">
        <f>I94+J94+K94+L94+M94</f>
        <v>1104.63435</v>
      </c>
      <c r="I94" s="327">
        <v>1104.63435</v>
      </c>
      <c r="J94" s="177">
        <v>0</v>
      </c>
      <c r="K94" s="176">
        <v>0</v>
      </c>
      <c r="L94" s="176">
        <v>0</v>
      </c>
      <c r="M94" s="177">
        <v>0</v>
      </c>
      <c r="N94" s="50"/>
      <c r="O94" s="16"/>
      <c r="V94" s="22"/>
      <c r="W94" s="22"/>
    </row>
    <row r="95" spans="1:23" s="97" customFormat="1" ht="40.049999999999997" customHeight="1" thickBot="1" x14ac:dyDescent="0.35">
      <c r="A95" s="22"/>
      <c r="B95" s="118">
        <v>81</v>
      </c>
      <c r="C95" s="199" t="s">
        <v>3</v>
      </c>
      <c r="D95" s="200"/>
      <c r="E95" s="161"/>
      <c r="F95" s="202"/>
      <c r="G95" s="161"/>
      <c r="H95" s="328">
        <f>I95+J95+K95+L95+M95</f>
        <v>4525.1902399999999</v>
      </c>
      <c r="I95" s="329">
        <f>1196+3329.19024</f>
        <v>4525.1902399999999</v>
      </c>
      <c r="J95" s="177">
        <v>0</v>
      </c>
      <c r="K95" s="184">
        <v>0</v>
      </c>
      <c r="L95" s="184">
        <v>0</v>
      </c>
      <c r="M95" s="177">
        <v>0</v>
      </c>
      <c r="N95" s="570" t="s">
        <v>140</v>
      </c>
      <c r="O95" s="570"/>
      <c r="P95" s="97" t="s">
        <v>13</v>
      </c>
      <c r="R95" s="97" t="s">
        <v>14</v>
      </c>
      <c r="V95" s="22"/>
      <c r="W95" s="22"/>
    </row>
    <row r="96" spans="1:23" s="97" customFormat="1" ht="180" customHeight="1" thickBot="1" x14ac:dyDescent="0.35">
      <c r="A96" s="22"/>
      <c r="B96" s="118">
        <v>82</v>
      </c>
      <c r="C96" s="119" t="s">
        <v>82</v>
      </c>
      <c r="D96" s="224" t="s">
        <v>122</v>
      </c>
      <c r="E96" s="225">
        <v>2021</v>
      </c>
      <c r="F96" s="112">
        <v>2024</v>
      </c>
      <c r="G96" s="164" t="s">
        <v>28</v>
      </c>
      <c r="H96" s="214">
        <f>I96+J96+K96+L96+M96</f>
        <v>4415</v>
      </c>
      <c r="I96" s="330">
        <f>I98+I99+I100</f>
        <v>4415</v>
      </c>
      <c r="J96" s="188">
        <f>J98+J99+J100</f>
        <v>0</v>
      </c>
      <c r="K96" s="188">
        <f>SUM(K98:K100)</f>
        <v>0</v>
      </c>
      <c r="L96" s="188">
        <f>SUM(L98:L100)</f>
        <v>0</v>
      </c>
      <c r="M96" s="331">
        <f>M98+M99+M100</f>
        <v>0</v>
      </c>
      <c r="N96" s="10"/>
      <c r="O96" s="16"/>
      <c r="V96" s="22"/>
      <c r="W96" s="22"/>
    </row>
    <row r="97" spans="1:23" s="97" customFormat="1" ht="40.049999999999997" customHeight="1" thickBot="1" x14ac:dyDescent="0.35">
      <c r="A97" s="22"/>
      <c r="B97" s="118">
        <v>83</v>
      </c>
      <c r="C97" s="332" t="s">
        <v>0</v>
      </c>
      <c r="D97" s="333"/>
      <c r="E97" s="334"/>
      <c r="F97" s="127"/>
      <c r="G97" s="228"/>
      <c r="H97" s="216"/>
      <c r="I97" s="289"/>
      <c r="J97" s="289"/>
      <c r="K97" s="288"/>
      <c r="L97" s="288"/>
      <c r="M97" s="289"/>
      <c r="N97" s="569" t="s">
        <v>111</v>
      </c>
      <c r="O97" s="16"/>
      <c r="V97" s="22"/>
      <c r="W97" s="22"/>
    </row>
    <row r="98" spans="1:23" s="97" customFormat="1" ht="40.049999999999997" customHeight="1" thickBot="1" x14ac:dyDescent="0.35">
      <c r="A98" s="22"/>
      <c r="B98" s="118">
        <v>84</v>
      </c>
      <c r="C98" s="229" t="s">
        <v>1</v>
      </c>
      <c r="D98" s="222"/>
      <c r="E98" s="335"/>
      <c r="F98" s="134"/>
      <c r="G98" s="175"/>
      <c r="H98" s="291">
        <f>I98+J98+K98+L98+M98</f>
        <v>0</v>
      </c>
      <c r="I98" s="244">
        <v>0</v>
      </c>
      <c r="J98" s="244">
        <v>0</v>
      </c>
      <c r="K98" s="197">
        <v>0</v>
      </c>
      <c r="L98" s="197">
        <v>0</v>
      </c>
      <c r="M98" s="244">
        <v>0</v>
      </c>
      <c r="N98" s="569"/>
      <c r="O98" s="16"/>
      <c r="V98" s="22"/>
      <c r="W98" s="22"/>
    </row>
    <row r="99" spans="1:23" s="97" customFormat="1" ht="40.049999999999997" customHeight="1" thickBot="1" x14ac:dyDescent="0.35">
      <c r="A99" s="22"/>
      <c r="B99" s="118">
        <v>85</v>
      </c>
      <c r="C99" s="229" t="s">
        <v>2</v>
      </c>
      <c r="D99" s="222"/>
      <c r="E99" s="335"/>
      <c r="F99" s="134"/>
      <c r="G99" s="175"/>
      <c r="H99" s="291">
        <f>I99+J99+K99+L99+M99</f>
        <v>0</v>
      </c>
      <c r="I99" s="244">
        <v>0</v>
      </c>
      <c r="J99" s="244">
        <v>0</v>
      </c>
      <c r="K99" s="197">
        <v>0</v>
      </c>
      <c r="L99" s="197">
        <v>0</v>
      </c>
      <c r="M99" s="244">
        <v>0</v>
      </c>
      <c r="N99" s="569"/>
      <c r="O99" s="16"/>
      <c r="V99" s="22"/>
      <c r="W99" s="22"/>
    </row>
    <row r="100" spans="1:23" s="97" customFormat="1" ht="40.049999999999997" customHeight="1" thickBot="1" x14ac:dyDescent="0.35">
      <c r="A100" s="22"/>
      <c r="B100" s="118">
        <v>86</v>
      </c>
      <c r="C100" s="199" t="s">
        <v>3</v>
      </c>
      <c r="D100" s="200"/>
      <c r="E100" s="201"/>
      <c r="F100" s="161"/>
      <c r="G100" s="202"/>
      <c r="H100" s="294">
        <f>I100+J100+K100+L100+M100</f>
        <v>4415</v>
      </c>
      <c r="I100" s="303">
        <v>4415</v>
      </c>
      <c r="J100" s="248">
        <v>0</v>
      </c>
      <c r="K100" s="336">
        <v>0</v>
      </c>
      <c r="L100" s="336">
        <v>0</v>
      </c>
      <c r="M100" s="248">
        <v>0</v>
      </c>
      <c r="N100" s="569"/>
      <c r="O100" s="16"/>
      <c r="V100" s="22"/>
      <c r="W100" s="22"/>
    </row>
    <row r="101" spans="1:23" s="97" customFormat="1" ht="186.6" customHeight="1" thickBot="1" x14ac:dyDescent="0.35">
      <c r="A101" s="22"/>
      <c r="B101" s="118">
        <v>87</v>
      </c>
      <c r="C101" s="337" t="s">
        <v>157</v>
      </c>
      <c r="D101" s="338" t="s">
        <v>120</v>
      </c>
      <c r="E101" s="339">
        <v>2027</v>
      </c>
      <c r="F101" s="340">
        <v>2027</v>
      </c>
      <c r="G101" s="341" t="s">
        <v>32</v>
      </c>
      <c r="H101" s="122">
        <f>I101+J101+K101+L101+M101</f>
        <v>193000</v>
      </c>
      <c r="I101" s="342">
        <f>I103+I104+I105</f>
        <v>0</v>
      </c>
      <c r="J101" s="208">
        <f>J103+J104+J105</f>
        <v>0</v>
      </c>
      <c r="K101" s="208">
        <f>SUM(K103:K105)</f>
        <v>0</v>
      </c>
      <c r="L101" s="208">
        <f>L103+L104+L105</f>
        <v>193000</v>
      </c>
      <c r="M101" s="208">
        <f>M103+M104+M105</f>
        <v>0</v>
      </c>
      <c r="N101" s="41"/>
      <c r="O101" s="58">
        <v>193000</v>
      </c>
      <c r="V101" s="22"/>
      <c r="W101" s="22"/>
    </row>
    <row r="102" spans="1:23" s="97" customFormat="1" ht="40.049999999999997" customHeight="1" thickBot="1" x14ac:dyDescent="0.35">
      <c r="A102" s="22"/>
      <c r="B102" s="118">
        <v>88</v>
      </c>
      <c r="C102" s="332" t="s">
        <v>0</v>
      </c>
      <c r="D102" s="333"/>
      <c r="E102" s="334"/>
      <c r="F102" s="127"/>
      <c r="G102" s="228"/>
      <c r="H102" s="343"/>
      <c r="I102" s="209"/>
      <c r="J102" s="326"/>
      <c r="K102" s="238"/>
      <c r="L102" s="326"/>
      <c r="M102" s="326"/>
      <c r="N102" s="41"/>
      <c r="O102" s="58"/>
      <c r="V102" s="22"/>
      <c r="W102" s="22"/>
    </row>
    <row r="103" spans="1:23" s="97" customFormat="1" ht="40.049999999999997" customHeight="1" thickBot="1" x14ac:dyDescent="0.35">
      <c r="A103" s="22"/>
      <c r="B103" s="118">
        <v>89</v>
      </c>
      <c r="C103" s="229" t="s">
        <v>1</v>
      </c>
      <c r="D103" s="222"/>
      <c r="E103" s="335"/>
      <c r="F103" s="134"/>
      <c r="G103" s="175"/>
      <c r="H103" s="136">
        <f>I103+J103+K103+L103+M103</f>
        <v>0</v>
      </c>
      <c r="I103" s="177">
        <v>0</v>
      </c>
      <c r="J103" s="244">
        <v>0</v>
      </c>
      <c r="K103" s="176">
        <v>0</v>
      </c>
      <c r="L103" s="177">
        <v>0</v>
      </c>
      <c r="M103" s="177">
        <v>0</v>
      </c>
      <c r="N103" s="41"/>
      <c r="O103" s="58"/>
      <c r="V103" s="22"/>
      <c r="W103" s="22"/>
    </row>
    <row r="104" spans="1:23" s="97" customFormat="1" ht="40.049999999999997" customHeight="1" thickBot="1" x14ac:dyDescent="0.35">
      <c r="A104" s="22"/>
      <c r="B104" s="118">
        <v>90</v>
      </c>
      <c r="C104" s="229" t="s">
        <v>2</v>
      </c>
      <c r="D104" s="222"/>
      <c r="E104" s="335"/>
      <c r="F104" s="134"/>
      <c r="G104" s="175"/>
      <c r="H104" s="136">
        <f>I104+J104+K104+L104+M104</f>
        <v>191070</v>
      </c>
      <c r="I104" s="177">
        <v>0</v>
      </c>
      <c r="J104" s="197">
        <v>0</v>
      </c>
      <c r="K104" s="176">
        <v>0</v>
      </c>
      <c r="L104" s="198">
        <v>191070</v>
      </c>
      <c r="M104" s="177">
        <v>0</v>
      </c>
      <c r="N104" s="77">
        <f>22901.6061+752.832</f>
        <v>23654.438099999999</v>
      </c>
      <c r="O104" s="58">
        <f>O101*99%</f>
        <v>191070</v>
      </c>
      <c r="P104" s="97">
        <v>21060</v>
      </c>
      <c r="Q104" s="4">
        <v>22013.66</v>
      </c>
      <c r="V104" s="22"/>
      <c r="W104" s="22"/>
    </row>
    <row r="105" spans="1:23" s="97" customFormat="1" ht="40.049999999999997" customHeight="1" thickBot="1" x14ac:dyDescent="0.35">
      <c r="A105" s="22"/>
      <c r="B105" s="118">
        <v>91</v>
      </c>
      <c r="C105" s="199" t="s">
        <v>3</v>
      </c>
      <c r="D105" s="200"/>
      <c r="E105" s="201"/>
      <c r="F105" s="161"/>
      <c r="G105" s="202"/>
      <c r="H105" s="140">
        <f>I105+J105+K105+L105+M105</f>
        <v>1930</v>
      </c>
      <c r="I105" s="177">
        <v>0</v>
      </c>
      <c r="J105" s="203">
        <v>0</v>
      </c>
      <c r="K105" s="184">
        <v>0</v>
      </c>
      <c r="L105" s="204">
        <v>1930</v>
      </c>
      <c r="M105" s="177">
        <v>0</v>
      </c>
      <c r="N105" s="41"/>
      <c r="O105" s="58">
        <f>O101/100</f>
        <v>1930</v>
      </c>
      <c r="V105" s="22"/>
      <c r="W105" s="22"/>
    </row>
    <row r="106" spans="1:23" s="97" customFormat="1" ht="153" customHeight="1" thickBot="1" x14ac:dyDescent="0.35">
      <c r="A106" s="22"/>
      <c r="B106" s="118">
        <v>92</v>
      </c>
      <c r="C106" s="119" t="s">
        <v>83</v>
      </c>
      <c r="D106" s="224" t="s">
        <v>117</v>
      </c>
      <c r="E106" s="225">
        <v>2023</v>
      </c>
      <c r="F106" s="112">
        <v>2024</v>
      </c>
      <c r="G106" s="164" t="s">
        <v>34</v>
      </c>
      <c r="H106" s="344">
        <f>I106+J106+K106+L106+M106</f>
        <v>23654.438099999999</v>
      </c>
      <c r="I106" s="345">
        <v>23654.438099999999</v>
      </c>
      <c r="J106" s="208">
        <f>J108+J109+J110</f>
        <v>0</v>
      </c>
      <c r="K106" s="208">
        <f>SUM(K108:K110)</f>
        <v>0</v>
      </c>
      <c r="L106" s="208">
        <f>SUM(L108:L110)</f>
        <v>0</v>
      </c>
      <c r="M106" s="167">
        <f>M108+M109+M110</f>
        <v>0</v>
      </c>
      <c r="N106" s="50">
        <v>22450.427200710001</v>
      </c>
      <c r="O106" s="16">
        <v>43073.66</v>
      </c>
      <c r="P106" s="4">
        <f>P109+P110</f>
        <v>21060</v>
      </c>
      <c r="Q106" s="76">
        <v>23654.438099999999</v>
      </c>
      <c r="R106" s="76">
        <v>9814.9740299999994</v>
      </c>
      <c r="S106" s="76">
        <v>8757.3777300000002</v>
      </c>
      <c r="T106" s="54">
        <f>T109+T110</f>
        <v>14896.599999999999</v>
      </c>
      <c r="U106" s="54"/>
      <c r="V106" s="54">
        <v>8757.3777300000002</v>
      </c>
      <c r="W106" s="22"/>
    </row>
    <row r="107" spans="1:23" s="97" customFormat="1" ht="40.049999999999997" customHeight="1" thickBot="1" x14ac:dyDescent="0.35">
      <c r="A107" s="22"/>
      <c r="B107" s="118">
        <v>93</v>
      </c>
      <c r="C107" s="226" t="s">
        <v>0</v>
      </c>
      <c r="D107" s="227"/>
      <c r="E107" s="128"/>
      <c r="F107" s="127"/>
      <c r="G107" s="228"/>
      <c r="H107" s="154"/>
      <c r="I107" s="346"/>
      <c r="J107" s="219"/>
      <c r="K107" s="238"/>
      <c r="L107" s="238"/>
      <c r="M107" s="209"/>
      <c r="N107" s="569" t="s">
        <v>112</v>
      </c>
      <c r="O107" s="16"/>
      <c r="P107" s="4"/>
      <c r="Q107" s="49"/>
      <c r="R107" s="49"/>
      <c r="S107" s="49"/>
      <c r="T107" s="47">
        <f>Q109-T109</f>
        <v>8311.6272007100015</v>
      </c>
      <c r="U107" s="54"/>
      <c r="V107" s="54"/>
      <c r="W107" s="22"/>
    </row>
    <row r="108" spans="1:23" s="97" customFormat="1" ht="40.049999999999997" customHeight="1" thickBot="1" x14ac:dyDescent="0.35">
      <c r="A108" s="22"/>
      <c r="B108" s="118">
        <v>94</v>
      </c>
      <c r="C108" s="195" t="s">
        <v>1</v>
      </c>
      <c r="D108" s="196"/>
      <c r="E108" s="139"/>
      <c r="F108" s="134"/>
      <c r="G108" s="175"/>
      <c r="H108" s="291">
        <f>I108+J108+K108+L108+M108</f>
        <v>0</v>
      </c>
      <c r="I108" s="244">
        <v>0</v>
      </c>
      <c r="J108" s="244">
        <v>0</v>
      </c>
      <c r="K108" s="176">
        <v>0</v>
      </c>
      <c r="L108" s="176">
        <v>0</v>
      </c>
      <c r="M108" s="177">
        <v>0</v>
      </c>
      <c r="N108" s="569"/>
      <c r="O108" s="16"/>
      <c r="P108" s="4"/>
      <c r="Q108" s="49"/>
      <c r="R108" s="49"/>
      <c r="S108" s="49"/>
      <c r="T108" s="54"/>
      <c r="U108" s="54"/>
      <c r="V108" s="54"/>
      <c r="W108" s="22"/>
    </row>
    <row r="109" spans="1:23" s="97" customFormat="1" ht="40.049999999999997" customHeight="1" thickBot="1" x14ac:dyDescent="0.35">
      <c r="A109" s="22"/>
      <c r="B109" s="118">
        <v>95</v>
      </c>
      <c r="C109" s="195" t="s">
        <v>2</v>
      </c>
      <c r="D109" s="196"/>
      <c r="E109" s="139"/>
      <c r="F109" s="134"/>
      <c r="G109" s="175"/>
      <c r="H109" s="291">
        <f>I109+J109+K109+L109+M109</f>
        <v>22450.427200709997</v>
      </c>
      <c r="I109" s="292">
        <f>I106*94.91%</f>
        <v>22450.427200709997</v>
      </c>
      <c r="J109" s="197">
        <v>0</v>
      </c>
      <c r="K109" s="176">
        <v>0</v>
      </c>
      <c r="L109" s="176">
        <v>0</v>
      </c>
      <c r="M109" s="177">
        <v>0</v>
      </c>
      <c r="N109" s="569"/>
      <c r="O109" s="16"/>
      <c r="P109" s="4">
        <v>20000</v>
      </c>
      <c r="Q109" s="49">
        <f>Q106*94.91/100</f>
        <v>22450.427200710001</v>
      </c>
      <c r="R109" s="49">
        <f>R106*94.97/100</f>
        <v>9321.2808362909982</v>
      </c>
      <c r="S109" s="49">
        <f>S106*94.91/100</f>
        <v>8311.6272035429993</v>
      </c>
      <c r="T109" s="54">
        <v>14138.8</v>
      </c>
      <c r="U109" s="54">
        <f>Q109-T109</f>
        <v>8311.6272007100015</v>
      </c>
      <c r="V109" s="54">
        <f>V106*94.91/100</f>
        <v>8311.6272035429993</v>
      </c>
      <c r="W109" s="22"/>
    </row>
    <row r="110" spans="1:23" s="97" customFormat="1" ht="40.049999999999997" customHeight="1" thickBot="1" x14ac:dyDescent="0.35">
      <c r="A110" s="22"/>
      <c r="B110" s="118">
        <v>96</v>
      </c>
      <c r="C110" s="229" t="s">
        <v>3</v>
      </c>
      <c r="D110" s="222"/>
      <c r="E110" s="335"/>
      <c r="F110" s="180"/>
      <c r="G110" s="181"/>
      <c r="H110" s="347">
        <f>I110+J110+K110+L110+M110</f>
        <v>1204.01089929</v>
      </c>
      <c r="I110" s="295">
        <f>I106*5.09/100</f>
        <v>1204.01089929</v>
      </c>
      <c r="J110" s="348">
        <v>0</v>
      </c>
      <c r="K110" s="184">
        <v>0</v>
      </c>
      <c r="L110" s="184">
        <v>0</v>
      </c>
      <c r="M110" s="177">
        <v>0</v>
      </c>
      <c r="N110" s="569"/>
      <c r="O110" s="61" t="s">
        <v>113</v>
      </c>
      <c r="P110" s="4">
        <v>1060</v>
      </c>
      <c r="Q110" s="49">
        <f>Q106*5.09/100</f>
        <v>1204.01089929</v>
      </c>
      <c r="R110" s="49">
        <f>R106*5.03/100</f>
        <v>493.69319370899996</v>
      </c>
      <c r="S110" s="49">
        <f>S106*5.09/100</f>
        <v>445.75052645700003</v>
      </c>
      <c r="T110" s="54">
        <v>757.8</v>
      </c>
      <c r="U110" s="54"/>
      <c r="V110" s="54">
        <f>V106*5.09/100</f>
        <v>445.75052645700003</v>
      </c>
      <c r="W110" s="22"/>
    </row>
    <row r="111" spans="1:23" s="97" customFormat="1" ht="256.8" customHeight="1" thickBot="1" x14ac:dyDescent="0.35">
      <c r="A111" s="22"/>
      <c r="B111" s="118">
        <v>97</v>
      </c>
      <c r="C111" s="119" t="s">
        <v>130</v>
      </c>
      <c r="D111" s="163" t="s">
        <v>118</v>
      </c>
      <c r="E111" s="112">
        <v>2027</v>
      </c>
      <c r="F111" s="164">
        <v>2028</v>
      </c>
      <c r="G111" s="112" t="s">
        <v>35</v>
      </c>
      <c r="H111" s="186">
        <f>I111+J111+K111+L111+M111</f>
        <v>107818.84</v>
      </c>
      <c r="I111" s="208">
        <f>I113+I114+I115</f>
        <v>0</v>
      </c>
      <c r="J111" s="188">
        <f>SUM(J112:J115)</f>
        <v>0</v>
      </c>
      <c r="K111" s="208">
        <f>SUM(K113:K115)</f>
        <v>0</v>
      </c>
      <c r="L111" s="152">
        <f>SUM(L112:L115)</f>
        <v>37082</v>
      </c>
      <c r="M111" s="167">
        <f>M113+M114+M115</f>
        <v>70736.84</v>
      </c>
      <c r="N111" s="43"/>
      <c r="O111" s="13"/>
      <c r="P111" s="97">
        <v>20738.45</v>
      </c>
      <c r="Q111" s="97">
        <v>1111</v>
      </c>
      <c r="V111" s="22"/>
      <c r="W111" s="22"/>
    </row>
    <row r="112" spans="1:23" s="97" customFormat="1" ht="40.049999999999997" customHeight="1" thickBot="1" x14ac:dyDescent="0.35">
      <c r="A112" s="22"/>
      <c r="B112" s="118">
        <v>98</v>
      </c>
      <c r="C112" s="226" t="s">
        <v>0</v>
      </c>
      <c r="D112" s="153"/>
      <c r="E112" s="228"/>
      <c r="F112" s="127"/>
      <c r="G112" s="228"/>
      <c r="H112" s="154"/>
      <c r="I112" s="346"/>
      <c r="J112" s="301"/>
      <c r="K112" s="238"/>
      <c r="L112" s="210"/>
      <c r="M112" s="209"/>
      <c r="N112" s="41"/>
      <c r="O112" s="16"/>
      <c r="V112" s="22"/>
      <c r="W112" s="22"/>
    </row>
    <row r="113" spans="1:23" s="97" customFormat="1" ht="40.049999999999997" customHeight="1" thickBot="1" x14ac:dyDescent="0.35">
      <c r="A113" s="22"/>
      <c r="B113" s="118">
        <v>99</v>
      </c>
      <c r="C113" s="195" t="s">
        <v>1</v>
      </c>
      <c r="D113" s="156"/>
      <c r="E113" s="175"/>
      <c r="F113" s="134"/>
      <c r="G113" s="175"/>
      <c r="H113" s="136">
        <f>I113+J113+K113+L113+M113</f>
        <v>0</v>
      </c>
      <c r="I113" s="177">
        <v>0</v>
      </c>
      <c r="J113" s="244">
        <v>0</v>
      </c>
      <c r="K113" s="176">
        <v>0</v>
      </c>
      <c r="L113" s="177">
        <v>0</v>
      </c>
      <c r="M113" s="177">
        <v>0</v>
      </c>
      <c r="N113" s="41"/>
      <c r="O113" s="16"/>
      <c r="V113" s="22"/>
      <c r="W113" s="22"/>
    </row>
    <row r="114" spans="1:23" s="97" customFormat="1" ht="40.049999999999997" customHeight="1" thickBot="1" x14ac:dyDescent="0.35">
      <c r="A114" s="22"/>
      <c r="B114" s="118">
        <v>100</v>
      </c>
      <c r="C114" s="195" t="s">
        <v>2</v>
      </c>
      <c r="D114" s="156"/>
      <c r="E114" s="175"/>
      <c r="F114" s="134"/>
      <c r="G114" s="175"/>
      <c r="H114" s="136">
        <f>I114+J114+K114+L114+M114</f>
        <v>102427.9</v>
      </c>
      <c r="I114" s="267">
        <v>0</v>
      </c>
      <c r="J114" s="197">
        <v>0</v>
      </c>
      <c r="K114" s="176">
        <v>0</v>
      </c>
      <c r="L114" s="198">
        <v>35227.9</v>
      </c>
      <c r="M114" s="177">
        <v>67200</v>
      </c>
      <c r="N114" s="41"/>
      <c r="O114" s="16"/>
      <c r="P114" s="97" t="e">
        <f>#REF!/100*99</f>
        <v>#REF!</v>
      </c>
      <c r="V114" s="22"/>
      <c r="W114" s="22"/>
    </row>
    <row r="115" spans="1:23" s="97" customFormat="1" ht="40.049999999999997" customHeight="1" thickBot="1" x14ac:dyDescent="0.35">
      <c r="A115" s="22"/>
      <c r="B115" s="118">
        <v>101</v>
      </c>
      <c r="C115" s="199" t="s">
        <v>3</v>
      </c>
      <c r="D115" s="160"/>
      <c r="E115" s="202"/>
      <c r="F115" s="161"/>
      <c r="G115" s="202"/>
      <c r="H115" s="136">
        <f>I115+J115+K115+L115+M115</f>
        <v>5390.9400000000005</v>
      </c>
      <c r="I115" s="270">
        <v>0</v>
      </c>
      <c r="J115" s="203">
        <v>0</v>
      </c>
      <c r="K115" s="184">
        <v>0</v>
      </c>
      <c r="L115" s="204">
        <v>1854.1</v>
      </c>
      <c r="M115" s="177">
        <v>3536.84</v>
      </c>
      <c r="N115" s="41"/>
      <c r="O115" s="16"/>
      <c r="P115" s="97" t="e">
        <f>#REF!/100</f>
        <v>#REF!</v>
      </c>
      <c r="V115" s="22"/>
      <c r="W115" s="22"/>
    </row>
    <row r="116" spans="1:23" s="97" customFormat="1" ht="211.2" customHeight="1" thickBot="1" x14ac:dyDescent="0.35">
      <c r="A116" s="22"/>
      <c r="B116" s="118">
        <v>102</v>
      </c>
      <c r="C116" s="119" t="s">
        <v>84</v>
      </c>
      <c r="D116" s="163" t="s">
        <v>118</v>
      </c>
      <c r="E116" s="225">
        <v>2025</v>
      </c>
      <c r="F116" s="112">
        <v>2026</v>
      </c>
      <c r="G116" s="164" t="s">
        <v>36</v>
      </c>
      <c r="H116" s="250">
        <f>I116+J116+K116+L116+M116</f>
        <v>1038615.8600000001</v>
      </c>
      <c r="I116" s="231">
        <f>I118+I119+I120</f>
        <v>0</v>
      </c>
      <c r="J116" s="152">
        <f>J118+J119+J120</f>
        <v>415446.34000000008</v>
      </c>
      <c r="K116" s="152">
        <f>K118+K119+K120</f>
        <v>623169.52</v>
      </c>
      <c r="L116" s="208">
        <f>SUM(L118:L120)</f>
        <v>0</v>
      </c>
      <c r="M116" s="208">
        <f>M118+M119+M120</f>
        <v>0</v>
      </c>
      <c r="N116" s="10"/>
      <c r="O116" s="14" t="e">
        <f>#REF!+I116</f>
        <v>#REF!</v>
      </c>
      <c r="P116" s="3">
        <v>147233</v>
      </c>
      <c r="Q116" s="3">
        <v>329445.95999999996</v>
      </c>
      <c r="R116" s="3">
        <v>415446.34</v>
      </c>
      <c r="S116" s="3">
        <v>623169.51</v>
      </c>
      <c r="V116" s="22"/>
      <c r="W116" s="22"/>
    </row>
    <row r="117" spans="1:23" s="97" customFormat="1" ht="40.049999999999997" customHeight="1" thickBot="1" x14ac:dyDescent="0.35">
      <c r="A117" s="22"/>
      <c r="B117" s="118">
        <v>103</v>
      </c>
      <c r="C117" s="226" t="s">
        <v>0</v>
      </c>
      <c r="D117" s="227"/>
      <c r="E117" s="128"/>
      <c r="F117" s="127"/>
      <c r="G117" s="228"/>
      <c r="H117" s="271"/>
      <c r="I117" s="210"/>
      <c r="J117" s="346"/>
      <c r="K117" s="210"/>
      <c r="L117" s="238"/>
      <c r="M117" s="211"/>
      <c r="N117" s="50"/>
      <c r="O117" s="16"/>
      <c r="P117" s="28"/>
      <c r="Q117" s="28"/>
      <c r="R117" s="29"/>
      <c r="S117" s="29"/>
      <c r="V117" s="22"/>
      <c r="W117" s="22"/>
    </row>
    <row r="118" spans="1:23" s="97" customFormat="1" ht="40.049999999999997" customHeight="1" thickBot="1" x14ac:dyDescent="0.35">
      <c r="A118" s="22"/>
      <c r="B118" s="118">
        <v>104</v>
      </c>
      <c r="C118" s="195" t="s">
        <v>1</v>
      </c>
      <c r="D118" s="196"/>
      <c r="E118" s="139"/>
      <c r="F118" s="134"/>
      <c r="G118" s="175"/>
      <c r="H118" s="276">
        <f>I118+J118+K118+L118+M118</f>
        <v>1017947.404386</v>
      </c>
      <c r="I118" s="176">
        <v>0</v>
      </c>
      <c r="J118" s="349">
        <v>407178.95783400006</v>
      </c>
      <c r="K118" s="198">
        <v>610768.44655200001</v>
      </c>
      <c r="L118" s="176">
        <v>0</v>
      </c>
      <c r="M118" s="176">
        <v>0</v>
      </c>
      <c r="N118" s="50"/>
      <c r="O118" s="16"/>
      <c r="P118" s="11">
        <f>P116-P119-P120</f>
        <v>144303.06330000001</v>
      </c>
      <c r="Q118" s="11">
        <f>Q116-Q119-Q120</f>
        <v>322889.98539599997</v>
      </c>
      <c r="R118" s="11">
        <f>R116-R119-R120</f>
        <v>407178.957834</v>
      </c>
      <c r="S118" s="11">
        <f>S116-S119-S120</f>
        <v>610768.436751</v>
      </c>
      <c r="V118" s="22"/>
      <c r="W118" s="22"/>
    </row>
    <row r="119" spans="1:23" s="97" customFormat="1" ht="40.049999999999997" customHeight="1" thickBot="1" x14ac:dyDescent="0.35">
      <c r="A119" s="22"/>
      <c r="B119" s="118">
        <v>105</v>
      </c>
      <c r="C119" s="195" t="s">
        <v>2</v>
      </c>
      <c r="D119" s="196"/>
      <c r="E119" s="139"/>
      <c r="F119" s="134"/>
      <c r="G119" s="175"/>
      <c r="H119" s="276">
        <f>I119+J119+K119+L119+M119</f>
        <v>10282.297014</v>
      </c>
      <c r="I119" s="176">
        <v>0</v>
      </c>
      <c r="J119" s="349">
        <v>4112.9187659999998</v>
      </c>
      <c r="K119" s="198">
        <v>6169.3782480000009</v>
      </c>
      <c r="L119" s="176">
        <v>0</v>
      </c>
      <c r="M119" s="176">
        <v>0</v>
      </c>
      <c r="N119" s="50"/>
      <c r="O119" s="16"/>
      <c r="P119" s="3">
        <f>(P116-P120)/100</f>
        <v>1457.6067</v>
      </c>
      <c r="Q119" s="3">
        <f>(Q116-Q120)/100</f>
        <v>3261.5150039999994</v>
      </c>
      <c r="R119" s="5">
        <f>(R116-R120)/100</f>
        <v>4112.9187659999998</v>
      </c>
      <c r="S119" s="5">
        <f>(S116-S120)/100</f>
        <v>6169.3781490000001</v>
      </c>
      <c r="V119" s="22"/>
      <c r="W119" s="22"/>
    </row>
    <row r="120" spans="1:23" s="97" customFormat="1" ht="40.049999999999997" customHeight="1" thickBot="1" x14ac:dyDescent="0.35">
      <c r="A120" s="22"/>
      <c r="B120" s="118">
        <v>106</v>
      </c>
      <c r="C120" s="199" t="s">
        <v>3</v>
      </c>
      <c r="D120" s="200"/>
      <c r="E120" s="350"/>
      <c r="F120" s="351"/>
      <c r="G120" s="352"/>
      <c r="H120" s="353">
        <f>I120+J120+K120+L120+M120</f>
        <v>10386.158600000001</v>
      </c>
      <c r="I120" s="212">
        <v>0</v>
      </c>
      <c r="J120" s="354">
        <v>4154.4634000000005</v>
      </c>
      <c r="K120" s="204">
        <v>6231.6952000000001</v>
      </c>
      <c r="L120" s="184">
        <v>0</v>
      </c>
      <c r="M120" s="212">
        <v>0</v>
      </c>
      <c r="N120" s="50"/>
      <c r="O120" s="16"/>
      <c r="P120" s="3">
        <f>P116/100</f>
        <v>1472.33</v>
      </c>
      <c r="Q120" s="3">
        <f>Q116/100</f>
        <v>3294.4595999999997</v>
      </c>
      <c r="R120" s="5">
        <f>R116/100</f>
        <v>4154.4634000000005</v>
      </c>
      <c r="S120" s="5">
        <f>S116/100</f>
        <v>6231.6950999999999</v>
      </c>
      <c r="V120" s="22"/>
      <c r="W120" s="22"/>
    </row>
    <row r="121" spans="1:23" s="97" customFormat="1" ht="204.6" customHeight="1" thickBot="1" x14ac:dyDescent="0.35">
      <c r="A121" s="22"/>
      <c r="B121" s="118">
        <v>107</v>
      </c>
      <c r="C121" s="119" t="s">
        <v>85</v>
      </c>
      <c r="D121" s="224" t="s">
        <v>120</v>
      </c>
      <c r="E121" s="225">
        <v>2026</v>
      </c>
      <c r="F121" s="112">
        <v>2026</v>
      </c>
      <c r="G121" s="164"/>
      <c r="H121" s="355">
        <f>I121+J121+K121+L121+M121</f>
        <v>735063.79</v>
      </c>
      <c r="I121" s="167">
        <f>I123+I124+I125</f>
        <v>0</v>
      </c>
      <c r="J121" s="167">
        <f>J123+J124+J125</f>
        <v>0</v>
      </c>
      <c r="K121" s="167">
        <f>K123+K124+K125</f>
        <v>735063.79</v>
      </c>
      <c r="L121" s="208">
        <f>SUM(L123:L125)</f>
        <v>0</v>
      </c>
      <c r="M121" s="208">
        <f>SUM(M123:M125)</f>
        <v>0</v>
      </c>
      <c r="N121" s="10"/>
      <c r="O121" s="16"/>
      <c r="P121" s="2">
        <v>735063.79</v>
      </c>
      <c r="Q121" s="50"/>
      <c r="R121" s="50"/>
      <c r="S121" s="50"/>
      <c r="V121" s="22"/>
      <c r="W121" s="22"/>
    </row>
    <row r="122" spans="1:23" s="97" customFormat="1" ht="40.049999999999997" customHeight="1" thickBot="1" x14ac:dyDescent="0.35">
      <c r="A122" s="22"/>
      <c r="B122" s="118">
        <v>108</v>
      </c>
      <c r="C122" s="226" t="s">
        <v>0</v>
      </c>
      <c r="D122" s="153"/>
      <c r="E122" s="356"/>
      <c r="F122" s="357"/>
      <c r="G122" s="358"/>
      <c r="H122" s="343"/>
      <c r="I122" s="359"/>
      <c r="J122" s="325"/>
      <c r="K122" s="326"/>
      <c r="L122" s="238"/>
      <c r="M122" s="360"/>
      <c r="N122" s="50"/>
      <c r="O122" s="16"/>
      <c r="P122" s="3"/>
      <c r="Q122" s="50"/>
      <c r="R122" s="50"/>
      <c r="S122" s="50"/>
      <c r="V122" s="22"/>
      <c r="W122" s="22"/>
    </row>
    <row r="123" spans="1:23" s="97" customFormat="1" ht="40.049999999999997" customHeight="1" thickBot="1" x14ac:dyDescent="0.35">
      <c r="A123" s="22"/>
      <c r="B123" s="118">
        <v>109</v>
      </c>
      <c r="C123" s="195" t="s">
        <v>1</v>
      </c>
      <c r="D123" s="156"/>
      <c r="E123" s="361"/>
      <c r="F123" s="362"/>
      <c r="G123" s="363"/>
      <c r="H123" s="364">
        <f>I123+J123+K123+L123+M123</f>
        <v>720436.02057900012</v>
      </c>
      <c r="I123" s="177">
        <v>0</v>
      </c>
      <c r="J123" s="177">
        <v>0</v>
      </c>
      <c r="K123" s="365">
        <v>720436.02057900012</v>
      </c>
      <c r="L123" s="176">
        <v>0</v>
      </c>
      <c r="M123" s="177">
        <v>0</v>
      </c>
      <c r="N123" s="50"/>
      <c r="O123" s="16"/>
      <c r="P123" s="3">
        <f>P121-P124-P125</f>
        <v>720436.02057900012</v>
      </c>
      <c r="Q123" s="50"/>
      <c r="R123" s="50"/>
      <c r="S123" s="50"/>
      <c r="V123" s="22"/>
      <c r="W123" s="22"/>
    </row>
    <row r="124" spans="1:23" s="97" customFormat="1" ht="40.049999999999997" customHeight="1" thickBot="1" x14ac:dyDescent="0.35">
      <c r="A124" s="22"/>
      <c r="B124" s="118">
        <v>110</v>
      </c>
      <c r="C124" s="195" t="s">
        <v>2</v>
      </c>
      <c r="D124" s="156"/>
      <c r="E124" s="361"/>
      <c r="F124" s="362"/>
      <c r="G124" s="363"/>
      <c r="H124" s="364">
        <f>I124+J124+K124+L124+M124</f>
        <v>7277.1315210000002</v>
      </c>
      <c r="I124" s="177">
        <v>0</v>
      </c>
      <c r="J124" s="177">
        <v>0</v>
      </c>
      <c r="K124" s="365">
        <v>7277.1315210000002</v>
      </c>
      <c r="L124" s="176">
        <v>0</v>
      </c>
      <c r="M124" s="177">
        <v>0</v>
      </c>
      <c r="N124" s="50"/>
      <c r="O124" s="16"/>
      <c r="P124" s="3">
        <f>(P121-P125)/100</f>
        <v>7277.1315210000002</v>
      </c>
      <c r="Q124" s="50"/>
      <c r="R124" s="50"/>
      <c r="S124" s="50"/>
      <c r="V124" s="22"/>
      <c r="W124" s="22"/>
    </row>
    <row r="125" spans="1:23" s="97" customFormat="1" ht="40.049999999999997" customHeight="1" thickBot="1" x14ac:dyDescent="0.35">
      <c r="A125" s="22"/>
      <c r="B125" s="118">
        <v>111</v>
      </c>
      <c r="C125" s="199" t="s">
        <v>3</v>
      </c>
      <c r="D125" s="160"/>
      <c r="E125" s="350"/>
      <c r="F125" s="351"/>
      <c r="G125" s="352"/>
      <c r="H125" s="366">
        <f>I125+J125+K125+L125+M125</f>
        <v>7350.6379000000006</v>
      </c>
      <c r="I125" s="205">
        <v>0</v>
      </c>
      <c r="J125" s="205">
        <v>0</v>
      </c>
      <c r="K125" s="367">
        <v>7350.6379000000006</v>
      </c>
      <c r="L125" s="184">
        <v>0</v>
      </c>
      <c r="M125" s="205">
        <v>0</v>
      </c>
      <c r="N125" s="50"/>
      <c r="O125" s="16"/>
      <c r="P125" s="3">
        <f>P121/100</f>
        <v>7350.6379000000006</v>
      </c>
      <c r="Q125" s="50"/>
      <c r="R125" s="50"/>
      <c r="S125" s="50"/>
      <c r="V125" s="22"/>
      <c r="W125" s="22"/>
    </row>
    <row r="126" spans="1:23" s="97" customFormat="1" ht="138.6" customHeight="1" thickBot="1" x14ac:dyDescent="0.35">
      <c r="A126" s="22"/>
      <c r="B126" s="118">
        <v>112</v>
      </c>
      <c r="C126" s="119" t="s">
        <v>86</v>
      </c>
      <c r="D126" s="224" t="s">
        <v>123</v>
      </c>
      <c r="E126" s="225">
        <v>2024</v>
      </c>
      <c r="F126" s="112">
        <v>2024</v>
      </c>
      <c r="G126" s="164" t="s">
        <v>28</v>
      </c>
      <c r="H126" s="368">
        <f>I126+J126+K126+L126+M126</f>
        <v>12000</v>
      </c>
      <c r="I126" s="369">
        <f>SUM(I128:I130)</f>
        <v>12000</v>
      </c>
      <c r="J126" s="167">
        <f>J128+J129+J130</f>
        <v>0</v>
      </c>
      <c r="K126" s="208">
        <f>SUM(K128:K130)</f>
        <v>0</v>
      </c>
      <c r="L126" s="208">
        <f>SUM(L128:L130)</f>
        <v>0</v>
      </c>
      <c r="M126" s="167">
        <f>M128+M129+M130</f>
        <v>0</v>
      </c>
      <c r="N126" s="39"/>
      <c r="V126" s="22"/>
      <c r="W126" s="22"/>
    </row>
    <row r="127" spans="1:23" s="97" customFormat="1" ht="40.049999999999997" customHeight="1" thickBot="1" x14ac:dyDescent="0.35">
      <c r="A127" s="22"/>
      <c r="B127" s="118">
        <v>113</v>
      </c>
      <c r="C127" s="226" t="s">
        <v>0</v>
      </c>
      <c r="D127" s="227"/>
      <c r="E127" s="128"/>
      <c r="F127" s="127"/>
      <c r="G127" s="228"/>
      <c r="H127" s="370"/>
      <c r="I127" s="371"/>
      <c r="J127" s="326"/>
      <c r="K127" s="238"/>
      <c r="L127" s="238"/>
      <c r="M127" s="372"/>
      <c r="N127" s="39"/>
      <c r="O127" s="21">
        <v>5794878.9399999995</v>
      </c>
      <c r="P127" s="21"/>
      <c r="V127" s="22"/>
      <c r="W127" s="22"/>
    </row>
    <row r="128" spans="1:23" s="97" customFormat="1" ht="40.049999999999997" customHeight="1" thickBot="1" x14ac:dyDescent="0.35">
      <c r="A128" s="22"/>
      <c r="B128" s="118">
        <v>114</v>
      </c>
      <c r="C128" s="195" t="s">
        <v>1</v>
      </c>
      <c r="D128" s="196"/>
      <c r="E128" s="139"/>
      <c r="F128" s="134"/>
      <c r="G128" s="175"/>
      <c r="H128" s="136">
        <f>I128+J128+K128+L128+M128</f>
        <v>0</v>
      </c>
      <c r="I128" s="177">
        <v>0</v>
      </c>
      <c r="J128" s="177">
        <v>0</v>
      </c>
      <c r="K128" s="176">
        <v>0</v>
      </c>
      <c r="L128" s="176">
        <v>0</v>
      </c>
      <c r="M128" s="177">
        <v>0</v>
      </c>
      <c r="N128" s="39"/>
      <c r="V128" s="22"/>
      <c r="W128" s="22"/>
    </row>
    <row r="129" spans="1:23" s="97" customFormat="1" ht="40.049999999999997" customHeight="1" thickBot="1" x14ac:dyDescent="0.35">
      <c r="A129" s="22"/>
      <c r="B129" s="118">
        <v>115</v>
      </c>
      <c r="C129" s="195" t="s">
        <v>2</v>
      </c>
      <c r="D129" s="196"/>
      <c r="E129" s="139"/>
      <c r="F129" s="134"/>
      <c r="G129" s="175"/>
      <c r="H129" s="136">
        <f>I129+J129+K129+L129+M129</f>
        <v>0</v>
      </c>
      <c r="I129" s="177">
        <v>0</v>
      </c>
      <c r="J129" s="177">
        <v>0</v>
      </c>
      <c r="K129" s="176">
        <v>0</v>
      </c>
      <c r="L129" s="176">
        <v>0</v>
      </c>
      <c r="M129" s="177">
        <v>0</v>
      </c>
      <c r="N129" s="39"/>
      <c r="O129" s="97" t="s">
        <v>16</v>
      </c>
      <c r="V129" s="22"/>
      <c r="W129" s="22"/>
    </row>
    <row r="130" spans="1:23" s="97" customFormat="1" ht="40.049999999999997" customHeight="1" thickBot="1" x14ac:dyDescent="0.35">
      <c r="A130" s="22"/>
      <c r="B130" s="118">
        <v>116</v>
      </c>
      <c r="C130" s="199" t="s">
        <v>3</v>
      </c>
      <c r="D130" s="200"/>
      <c r="E130" s="201"/>
      <c r="F130" s="161"/>
      <c r="G130" s="202"/>
      <c r="H130" s="373">
        <f>I130+J130+K130+L130+M130</f>
        <v>12000</v>
      </c>
      <c r="I130" s="374">
        <v>12000</v>
      </c>
      <c r="J130" s="205">
        <v>0</v>
      </c>
      <c r="K130" s="184">
        <v>0</v>
      </c>
      <c r="L130" s="184">
        <v>0</v>
      </c>
      <c r="M130" s="205">
        <v>0</v>
      </c>
      <c r="N130" s="571" t="s">
        <v>110</v>
      </c>
      <c r="O130" s="571"/>
      <c r="P130" s="10"/>
      <c r="V130" s="22"/>
      <c r="W130" s="22"/>
    </row>
    <row r="131" spans="1:23" s="97" customFormat="1" ht="151.80000000000001" customHeight="1" thickBot="1" x14ac:dyDescent="0.35">
      <c r="A131" s="22"/>
      <c r="B131" s="118">
        <v>117</v>
      </c>
      <c r="C131" s="119" t="s">
        <v>87</v>
      </c>
      <c r="D131" s="224" t="s">
        <v>124</v>
      </c>
      <c r="E131" s="225">
        <v>2027</v>
      </c>
      <c r="F131" s="112">
        <v>2027</v>
      </c>
      <c r="G131" s="164" t="s">
        <v>28</v>
      </c>
      <c r="H131" s="368">
        <f>I131+J131+K131+L131+M131</f>
        <v>2000</v>
      </c>
      <c r="I131" s="167">
        <f>I133+I134+I135</f>
        <v>0</v>
      </c>
      <c r="J131" s="167">
        <f>J133+J134+J135</f>
        <v>0</v>
      </c>
      <c r="K131" s="208">
        <f>SUM(K133:K135)</f>
        <v>0</v>
      </c>
      <c r="L131" s="167">
        <f>L133+L134+L135</f>
        <v>2000</v>
      </c>
      <c r="M131" s="167">
        <f>M133+M134+M135</f>
        <v>0</v>
      </c>
      <c r="N131" s="40"/>
      <c r="V131" s="22"/>
      <c r="W131" s="22"/>
    </row>
    <row r="132" spans="1:23" s="97" customFormat="1" ht="40.049999999999997" customHeight="1" thickBot="1" x14ac:dyDescent="0.35">
      <c r="A132" s="22"/>
      <c r="B132" s="118">
        <v>118</v>
      </c>
      <c r="C132" s="189" t="s">
        <v>0</v>
      </c>
      <c r="D132" s="190"/>
      <c r="E132" s="191"/>
      <c r="F132" s="127"/>
      <c r="G132" s="170"/>
      <c r="H132" s="370"/>
      <c r="I132" s="375"/>
      <c r="J132" s="326"/>
      <c r="K132" s="238"/>
      <c r="L132" s="326"/>
      <c r="M132" s="376"/>
      <c r="N132" s="41"/>
      <c r="O132" s="10"/>
      <c r="P132" s="10"/>
      <c r="V132" s="22"/>
      <c r="W132" s="22"/>
    </row>
    <row r="133" spans="1:23" s="97" customFormat="1" ht="40.049999999999997" customHeight="1" thickBot="1" x14ac:dyDescent="0.35">
      <c r="A133" s="22"/>
      <c r="B133" s="118">
        <v>119</v>
      </c>
      <c r="C133" s="195" t="s">
        <v>1</v>
      </c>
      <c r="D133" s="196"/>
      <c r="E133" s="139"/>
      <c r="F133" s="134"/>
      <c r="G133" s="175"/>
      <c r="H133" s="136">
        <f>I133+J133+K133+L133+M133</f>
        <v>0</v>
      </c>
      <c r="I133" s="176">
        <v>0</v>
      </c>
      <c r="J133" s="177">
        <v>0</v>
      </c>
      <c r="K133" s="176">
        <v>0</v>
      </c>
      <c r="L133" s="177">
        <v>0</v>
      </c>
      <c r="M133" s="177">
        <v>0</v>
      </c>
      <c r="N133" s="41"/>
      <c r="O133" s="10"/>
      <c r="P133" s="10"/>
      <c r="V133" s="22"/>
      <c r="W133" s="22"/>
    </row>
    <row r="134" spans="1:23" s="97" customFormat="1" ht="40.049999999999997" customHeight="1" thickBot="1" x14ac:dyDescent="0.35">
      <c r="A134" s="22"/>
      <c r="B134" s="118">
        <v>120</v>
      </c>
      <c r="C134" s="195" t="s">
        <v>2</v>
      </c>
      <c r="D134" s="196"/>
      <c r="E134" s="139"/>
      <c r="F134" s="134"/>
      <c r="G134" s="175"/>
      <c r="H134" s="136">
        <f>I134+J134+K134+M134</f>
        <v>0</v>
      </c>
      <c r="I134" s="176">
        <v>0</v>
      </c>
      <c r="J134" s="177">
        <v>0</v>
      </c>
      <c r="K134" s="176">
        <v>0</v>
      </c>
      <c r="L134" s="177">
        <v>0</v>
      </c>
      <c r="M134" s="177">
        <v>0</v>
      </c>
      <c r="N134" s="41"/>
      <c r="O134" s="10"/>
      <c r="P134" s="10"/>
      <c r="V134" s="22"/>
      <c r="W134" s="22"/>
    </row>
    <row r="135" spans="1:23" s="97" customFormat="1" ht="40.049999999999997" customHeight="1" thickBot="1" x14ac:dyDescent="0.35">
      <c r="A135" s="22"/>
      <c r="B135" s="118">
        <v>121</v>
      </c>
      <c r="C135" s="229" t="s">
        <v>3</v>
      </c>
      <c r="D135" s="222"/>
      <c r="E135" s="335"/>
      <c r="F135" s="161"/>
      <c r="G135" s="181"/>
      <c r="H135" s="140">
        <f>I135+J135+K135+L135+M135</f>
        <v>2000</v>
      </c>
      <c r="I135" s="176">
        <v>0</v>
      </c>
      <c r="J135" s="205">
        <v>0</v>
      </c>
      <c r="K135" s="184">
        <v>0</v>
      </c>
      <c r="L135" s="205">
        <v>2000</v>
      </c>
      <c r="M135" s="205">
        <v>0</v>
      </c>
      <c r="N135" s="41"/>
      <c r="O135" s="10"/>
      <c r="P135" s="10"/>
      <c r="V135" s="22"/>
      <c r="W135" s="22"/>
    </row>
    <row r="136" spans="1:23" s="97" customFormat="1" ht="140.4" customHeight="1" thickBot="1" x14ac:dyDescent="0.35">
      <c r="A136" s="22"/>
      <c r="B136" s="118">
        <v>122</v>
      </c>
      <c r="C136" s="119" t="s">
        <v>88</v>
      </c>
      <c r="D136" s="224" t="s">
        <v>118</v>
      </c>
      <c r="E136" s="225">
        <v>2027</v>
      </c>
      <c r="F136" s="112">
        <v>2027</v>
      </c>
      <c r="G136" s="164" t="s">
        <v>28</v>
      </c>
      <c r="H136" s="368">
        <f>I136+J136+K136+L136+M136</f>
        <v>2000</v>
      </c>
      <c r="I136" s="208">
        <f>SUM(I138:I140)</f>
        <v>0</v>
      </c>
      <c r="J136" s="167">
        <f>J138+J139+J140</f>
        <v>0</v>
      </c>
      <c r="K136" s="208">
        <f>SUM(K138:K140)</f>
        <v>0</v>
      </c>
      <c r="L136" s="167">
        <f>L138+L139+L140</f>
        <v>2000</v>
      </c>
      <c r="M136" s="167">
        <f>M138+M139+M140</f>
        <v>0</v>
      </c>
      <c r="N136" s="41"/>
      <c r="O136" s="10"/>
      <c r="P136" s="10"/>
      <c r="V136" s="22"/>
      <c r="W136" s="22"/>
    </row>
    <row r="137" spans="1:23" s="97" customFormat="1" ht="40.049999999999997" customHeight="1" thickBot="1" x14ac:dyDescent="0.35">
      <c r="A137" s="22"/>
      <c r="B137" s="118">
        <v>123</v>
      </c>
      <c r="C137" s="226" t="s">
        <v>0</v>
      </c>
      <c r="D137" s="227"/>
      <c r="E137" s="128"/>
      <c r="F137" s="127"/>
      <c r="G137" s="228"/>
      <c r="H137" s="370"/>
      <c r="I137" s="375"/>
      <c r="J137" s="326"/>
      <c r="K137" s="238"/>
      <c r="L137" s="326"/>
      <c r="M137" s="326"/>
      <c r="N137" s="41"/>
      <c r="O137" s="10"/>
      <c r="P137" s="10"/>
      <c r="V137" s="22"/>
      <c r="W137" s="22"/>
    </row>
    <row r="138" spans="1:23" s="97" customFormat="1" ht="40.049999999999997" customHeight="1" thickBot="1" x14ac:dyDescent="0.35">
      <c r="A138" s="22"/>
      <c r="B138" s="118">
        <v>124</v>
      </c>
      <c r="C138" s="195" t="s">
        <v>1</v>
      </c>
      <c r="D138" s="196"/>
      <c r="E138" s="139"/>
      <c r="F138" s="134"/>
      <c r="G138" s="175"/>
      <c r="H138" s="136">
        <f>I138+J138+K138+L138+M138</f>
        <v>0</v>
      </c>
      <c r="I138" s="176">
        <v>0</v>
      </c>
      <c r="J138" s="177">
        <v>0</v>
      </c>
      <c r="K138" s="176">
        <v>0</v>
      </c>
      <c r="L138" s="177">
        <v>0</v>
      </c>
      <c r="M138" s="177">
        <v>0</v>
      </c>
      <c r="N138" s="41">
        <f>SUM(H138:M138)</f>
        <v>0</v>
      </c>
      <c r="O138" s="10"/>
      <c r="P138" s="10"/>
      <c r="V138" s="22"/>
      <c r="W138" s="22"/>
    </row>
    <row r="139" spans="1:23" s="97" customFormat="1" ht="40.049999999999997" customHeight="1" thickBot="1" x14ac:dyDescent="0.35">
      <c r="A139" s="22"/>
      <c r="B139" s="118">
        <v>125</v>
      </c>
      <c r="C139" s="195" t="s">
        <v>2</v>
      </c>
      <c r="D139" s="196"/>
      <c r="E139" s="139"/>
      <c r="F139" s="134"/>
      <c r="G139" s="175"/>
      <c r="H139" s="136">
        <f>I139+J139+K139+L139+M139</f>
        <v>0</v>
      </c>
      <c r="I139" s="176">
        <v>0</v>
      </c>
      <c r="J139" s="177">
        <v>0</v>
      </c>
      <c r="K139" s="176">
        <v>0</v>
      </c>
      <c r="L139" s="177">
        <v>0</v>
      </c>
      <c r="M139" s="177">
        <v>0</v>
      </c>
      <c r="N139" s="41"/>
      <c r="O139" s="10"/>
      <c r="P139" s="10"/>
      <c r="V139" s="22"/>
      <c r="W139" s="22"/>
    </row>
    <row r="140" spans="1:23" s="97" customFormat="1" ht="40.049999999999997" customHeight="1" thickBot="1" x14ac:dyDescent="0.35">
      <c r="A140" s="22"/>
      <c r="B140" s="118">
        <v>126</v>
      </c>
      <c r="C140" s="199" t="s">
        <v>3</v>
      </c>
      <c r="D140" s="200"/>
      <c r="E140" s="201"/>
      <c r="F140" s="161"/>
      <c r="G140" s="202"/>
      <c r="H140" s="373">
        <f>I140+J140+K140+L140+M140</f>
        <v>2000</v>
      </c>
      <c r="I140" s="212">
        <v>0</v>
      </c>
      <c r="J140" s="205">
        <v>0</v>
      </c>
      <c r="K140" s="184">
        <v>0</v>
      </c>
      <c r="L140" s="205">
        <v>2000</v>
      </c>
      <c r="M140" s="205">
        <v>0</v>
      </c>
      <c r="N140" s="41"/>
      <c r="O140" s="10"/>
      <c r="P140" s="10"/>
      <c r="V140" s="22"/>
      <c r="W140" s="22"/>
    </row>
    <row r="141" spans="1:23" s="97" customFormat="1" ht="174.6" customHeight="1" thickBot="1" x14ac:dyDescent="0.35">
      <c r="A141" s="22"/>
      <c r="B141" s="118">
        <v>127</v>
      </c>
      <c r="C141" s="119" t="s">
        <v>89</v>
      </c>
      <c r="D141" s="224" t="s">
        <v>129</v>
      </c>
      <c r="E141" s="225">
        <v>2027</v>
      </c>
      <c r="F141" s="112">
        <v>2027</v>
      </c>
      <c r="G141" s="164" t="s">
        <v>28</v>
      </c>
      <c r="H141" s="368">
        <f>I141+J141+K141+L141+M141</f>
        <v>2000</v>
      </c>
      <c r="I141" s="167">
        <f>SUM(I143:I145)</f>
        <v>0</v>
      </c>
      <c r="J141" s="167">
        <f>J143+J144+J145</f>
        <v>0</v>
      </c>
      <c r="K141" s="208">
        <f>SUM(K143:K145)</f>
        <v>0</v>
      </c>
      <c r="L141" s="167">
        <f>L143+L144+L145</f>
        <v>2000</v>
      </c>
      <c r="M141" s="167">
        <f>M143+M144+M145</f>
        <v>0</v>
      </c>
      <c r="N141" s="41"/>
      <c r="O141" s="10"/>
      <c r="P141" s="10"/>
      <c r="V141" s="22"/>
      <c r="W141" s="22"/>
    </row>
    <row r="142" spans="1:23" s="97" customFormat="1" ht="40.049999999999997" customHeight="1" thickBot="1" x14ac:dyDescent="0.35">
      <c r="A142" s="22"/>
      <c r="B142" s="118">
        <v>128</v>
      </c>
      <c r="C142" s="226" t="s">
        <v>0</v>
      </c>
      <c r="D142" s="227"/>
      <c r="E142" s="128"/>
      <c r="F142" s="127"/>
      <c r="G142" s="228"/>
      <c r="H142" s="370"/>
      <c r="I142" s="375"/>
      <c r="J142" s="326"/>
      <c r="K142" s="238"/>
      <c r="L142" s="326"/>
      <c r="M142" s="326"/>
      <c r="N142" s="41"/>
      <c r="O142" s="10"/>
      <c r="P142" s="10"/>
      <c r="V142" s="22"/>
      <c r="W142" s="22"/>
    </row>
    <row r="143" spans="1:23" s="97" customFormat="1" ht="40.049999999999997" customHeight="1" thickBot="1" x14ac:dyDescent="0.35">
      <c r="A143" s="22"/>
      <c r="B143" s="118">
        <v>129</v>
      </c>
      <c r="C143" s="195" t="s">
        <v>1</v>
      </c>
      <c r="D143" s="196"/>
      <c r="E143" s="139"/>
      <c r="F143" s="134"/>
      <c r="G143" s="175"/>
      <c r="H143" s="136">
        <f>I143+J143+M143</f>
        <v>0</v>
      </c>
      <c r="I143" s="176">
        <v>0</v>
      </c>
      <c r="J143" s="177">
        <v>0</v>
      </c>
      <c r="K143" s="176">
        <v>0</v>
      </c>
      <c r="L143" s="177">
        <v>0</v>
      </c>
      <c r="M143" s="177">
        <v>0</v>
      </c>
      <c r="N143" s="41"/>
      <c r="O143" s="10"/>
      <c r="P143" s="10">
        <v>2551452</v>
      </c>
      <c r="Q143" s="11">
        <v>1935915</v>
      </c>
      <c r="R143" s="11">
        <v>152179</v>
      </c>
      <c r="V143" s="22"/>
      <c r="W143" s="22"/>
    </row>
    <row r="144" spans="1:23" ht="40.049999999999997" customHeight="1" thickBot="1" x14ac:dyDescent="0.35">
      <c r="B144" s="118">
        <v>130</v>
      </c>
      <c r="C144" s="195" t="s">
        <v>2</v>
      </c>
      <c r="D144" s="196"/>
      <c r="E144" s="139"/>
      <c r="F144" s="134"/>
      <c r="G144" s="175"/>
      <c r="H144" s="136">
        <f>I144+J144+M144</f>
        <v>0</v>
      </c>
      <c r="I144" s="176">
        <v>0</v>
      </c>
      <c r="J144" s="177">
        <v>0</v>
      </c>
      <c r="K144" s="176">
        <v>0</v>
      </c>
      <c r="L144" s="177">
        <v>0</v>
      </c>
      <c r="M144" s="177">
        <v>0</v>
      </c>
      <c r="N144" s="41"/>
      <c r="O144" s="10"/>
      <c r="P144" s="10"/>
    </row>
    <row r="145" spans="2:16" ht="40.049999999999997" customHeight="1" thickBot="1" x14ac:dyDescent="0.35">
      <c r="B145" s="118">
        <v>131</v>
      </c>
      <c r="C145" s="199" t="s">
        <v>3</v>
      </c>
      <c r="D145" s="200"/>
      <c r="E145" s="201"/>
      <c r="F145" s="161"/>
      <c r="G145" s="202"/>
      <c r="H145" s="373">
        <f>I145+J145+K145+L145+M145</f>
        <v>2000</v>
      </c>
      <c r="I145" s="176">
        <v>0</v>
      </c>
      <c r="J145" s="205">
        <v>0</v>
      </c>
      <c r="K145" s="184">
        <v>0</v>
      </c>
      <c r="L145" s="205">
        <v>2000</v>
      </c>
      <c r="M145" s="205">
        <v>0</v>
      </c>
      <c r="N145" s="41"/>
      <c r="O145" s="10"/>
      <c r="P145" s="10"/>
    </row>
    <row r="146" spans="2:16" ht="98.4" customHeight="1" thickBot="1" x14ac:dyDescent="0.35">
      <c r="B146" s="118">
        <v>132</v>
      </c>
      <c r="C146" s="119" t="s">
        <v>146</v>
      </c>
      <c r="D146" s="224" t="s">
        <v>125</v>
      </c>
      <c r="E146" s="225">
        <v>2028</v>
      </c>
      <c r="F146" s="112">
        <v>2028</v>
      </c>
      <c r="G146" s="164" t="s">
        <v>51</v>
      </c>
      <c r="H146" s="368">
        <f>I146+J146+K146+L146+M146</f>
        <v>269267.62</v>
      </c>
      <c r="I146" s="167">
        <f>I148+I149+I150</f>
        <v>0</v>
      </c>
      <c r="J146" s="167">
        <f>J148+J149+J150</f>
        <v>0</v>
      </c>
      <c r="K146" s="208">
        <f>SUM(K148:K150)</f>
        <v>0</v>
      </c>
      <c r="L146" s="208">
        <f>SUM(L148:L150)</f>
        <v>0</v>
      </c>
      <c r="M146" s="208">
        <f>SUM(M148:M150)</f>
        <v>269267.62</v>
      </c>
      <c r="N146" s="41"/>
      <c r="O146" s="10"/>
      <c r="P146" s="10"/>
    </row>
    <row r="147" spans="2:16" ht="40.049999999999997" customHeight="1" thickBot="1" x14ac:dyDescent="0.35">
      <c r="B147" s="118">
        <v>133</v>
      </c>
      <c r="C147" s="226" t="s">
        <v>0</v>
      </c>
      <c r="D147" s="227"/>
      <c r="E147" s="128"/>
      <c r="F147" s="127"/>
      <c r="G147" s="228"/>
      <c r="H147" s="370"/>
      <c r="I147" s="377"/>
      <c r="J147" s="325"/>
      <c r="K147" s="238"/>
      <c r="L147" s="238"/>
      <c r="M147" s="326"/>
      <c r="N147" s="41"/>
      <c r="O147" s="10"/>
      <c r="P147" s="10"/>
    </row>
    <row r="148" spans="2:16" ht="40.049999999999997" customHeight="1" thickBot="1" x14ac:dyDescent="0.35">
      <c r="B148" s="118">
        <v>134</v>
      </c>
      <c r="C148" s="195" t="s">
        <v>1</v>
      </c>
      <c r="D148" s="196"/>
      <c r="E148" s="139"/>
      <c r="F148" s="134"/>
      <c r="G148" s="175"/>
      <c r="H148" s="378">
        <f>I148+J148+K148+L148+M148</f>
        <v>263909.19436199998</v>
      </c>
      <c r="I148" s="177">
        <v>0</v>
      </c>
      <c r="J148" s="177">
        <v>0</v>
      </c>
      <c r="K148" s="176">
        <v>0</v>
      </c>
      <c r="L148" s="176">
        <v>0</v>
      </c>
      <c r="M148" s="365">
        <v>263909.19436199998</v>
      </c>
      <c r="N148" s="41"/>
      <c r="O148" s="10"/>
      <c r="P148" s="10"/>
    </row>
    <row r="149" spans="2:16" ht="40.049999999999997" customHeight="1" thickBot="1" x14ac:dyDescent="0.35">
      <c r="B149" s="118">
        <v>135</v>
      </c>
      <c r="C149" s="195" t="s">
        <v>2</v>
      </c>
      <c r="D149" s="196"/>
      <c r="E149" s="139"/>
      <c r="F149" s="134"/>
      <c r="G149" s="175"/>
      <c r="H149" s="378">
        <f>I149+J149+K149+L149+M149</f>
        <v>2665.7494380000003</v>
      </c>
      <c r="I149" s="177">
        <v>0</v>
      </c>
      <c r="J149" s="177">
        <v>0</v>
      </c>
      <c r="K149" s="176">
        <v>0</v>
      </c>
      <c r="L149" s="176">
        <v>0</v>
      </c>
      <c r="M149" s="365">
        <v>2665.7494380000003</v>
      </c>
      <c r="N149" s="41"/>
      <c r="O149" s="10"/>
      <c r="P149" s="10"/>
    </row>
    <row r="150" spans="2:16" ht="40.049999999999997" customHeight="1" thickBot="1" x14ac:dyDescent="0.35">
      <c r="B150" s="118">
        <v>136</v>
      </c>
      <c r="C150" s="199" t="s">
        <v>3</v>
      </c>
      <c r="D150" s="200"/>
      <c r="E150" s="201"/>
      <c r="F150" s="161"/>
      <c r="G150" s="202"/>
      <c r="H150" s="373">
        <f>I150+J150+K150+L150+M150</f>
        <v>2692.6762000000149</v>
      </c>
      <c r="I150" s="205">
        <v>0</v>
      </c>
      <c r="J150" s="205">
        <v>0</v>
      </c>
      <c r="K150" s="184">
        <v>0</v>
      </c>
      <c r="L150" s="184">
        <v>0</v>
      </c>
      <c r="M150" s="367">
        <v>2692.6762000000149</v>
      </c>
      <c r="N150" s="41"/>
      <c r="O150" s="10"/>
      <c r="P150" s="10"/>
    </row>
    <row r="151" spans="2:16" ht="139.80000000000001" customHeight="1" thickBot="1" x14ac:dyDescent="0.35">
      <c r="B151" s="118">
        <v>137</v>
      </c>
      <c r="C151" s="119" t="s">
        <v>90</v>
      </c>
      <c r="D151" s="224" t="s">
        <v>122</v>
      </c>
      <c r="E151" s="225">
        <v>2028</v>
      </c>
      <c r="F151" s="112">
        <v>2028</v>
      </c>
      <c r="G151" s="164" t="s">
        <v>52</v>
      </c>
      <c r="H151" s="368">
        <f>I151+J151+K151+L151+M151</f>
        <v>216213.29</v>
      </c>
      <c r="I151" s="167">
        <f>I153+I154+I155</f>
        <v>0</v>
      </c>
      <c r="J151" s="167">
        <f>J153+J154+J155</f>
        <v>0</v>
      </c>
      <c r="K151" s="208">
        <f>SUM(K153:K155)</f>
        <v>0</v>
      </c>
      <c r="L151" s="208">
        <f>SUM(L153:L155)</f>
        <v>0</v>
      </c>
      <c r="M151" s="316">
        <v>216213.29</v>
      </c>
      <c r="N151" s="41"/>
      <c r="O151" s="10"/>
      <c r="P151" s="10"/>
    </row>
    <row r="152" spans="2:16" ht="40.049999999999997" customHeight="1" thickBot="1" x14ac:dyDescent="0.35">
      <c r="B152" s="118">
        <v>138</v>
      </c>
      <c r="C152" s="226" t="s">
        <v>0</v>
      </c>
      <c r="D152" s="227"/>
      <c r="E152" s="128"/>
      <c r="F152" s="127"/>
      <c r="G152" s="228"/>
      <c r="H152" s="370"/>
      <c r="I152" s="377"/>
      <c r="J152" s="325"/>
      <c r="K152" s="238"/>
      <c r="L152" s="238"/>
      <c r="M152" s="289"/>
      <c r="N152" s="41"/>
      <c r="O152" s="10"/>
      <c r="P152" s="10"/>
    </row>
    <row r="153" spans="2:16" ht="40.049999999999997" customHeight="1" thickBot="1" x14ac:dyDescent="0.35">
      <c r="B153" s="118">
        <v>139</v>
      </c>
      <c r="C153" s="195" t="s">
        <v>1</v>
      </c>
      <c r="D153" s="196"/>
      <c r="E153" s="139"/>
      <c r="F153" s="134"/>
      <c r="G153" s="175"/>
      <c r="H153" s="136">
        <f>I153+J153+K153+L153+M153</f>
        <v>0</v>
      </c>
      <c r="I153" s="177">
        <v>0</v>
      </c>
      <c r="J153" s="177">
        <v>0</v>
      </c>
      <c r="K153" s="176">
        <v>0</v>
      </c>
      <c r="L153" s="176">
        <v>0</v>
      </c>
      <c r="M153" s="197">
        <v>0</v>
      </c>
      <c r="N153" s="41"/>
      <c r="O153" s="10"/>
      <c r="P153" s="10"/>
    </row>
    <row r="154" spans="2:16" ht="40.049999999999997" customHeight="1" thickBot="1" x14ac:dyDescent="0.35">
      <c r="B154" s="118">
        <v>140</v>
      </c>
      <c r="C154" s="195" t="s">
        <v>2</v>
      </c>
      <c r="D154" s="196"/>
      <c r="E154" s="139"/>
      <c r="F154" s="134"/>
      <c r="G154" s="175"/>
      <c r="H154" s="378">
        <f>I154+J154+K154+L154+M154</f>
        <v>214051.15710000001</v>
      </c>
      <c r="I154" s="177">
        <v>0</v>
      </c>
      <c r="J154" s="177">
        <v>0</v>
      </c>
      <c r="K154" s="176">
        <v>0</v>
      </c>
      <c r="L154" s="176">
        <v>0</v>
      </c>
      <c r="M154" s="244">
        <v>214051.15710000001</v>
      </c>
      <c r="N154" s="41"/>
      <c r="O154" s="10"/>
      <c r="P154" s="10"/>
    </row>
    <row r="155" spans="2:16" ht="40.049999999999997" customHeight="1" thickBot="1" x14ac:dyDescent="0.35">
      <c r="B155" s="118">
        <v>141</v>
      </c>
      <c r="C155" s="199" t="s">
        <v>3</v>
      </c>
      <c r="D155" s="200"/>
      <c r="E155" s="201"/>
      <c r="F155" s="161"/>
      <c r="G155" s="202"/>
      <c r="H155" s="373">
        <f>I155+J155+K155+L155+M155</f>
        <v>2162.1329000000001</v>
      </c>
      <c r="I155" s="205">
        <v>0</v>
      </c>
      <c r="J155" s="205">
        <v>0</v>
      </c>
      <c r="K155" s="184">
        <v>0</v>
      </c>
      <c r="L155" s="184">
        <v>0</v>
      </c>
      <c r="M155" s="303">
        <v>2162.1329000000001</v>
      </c>
      <c r="N155" s="41"/>
      <c r="O155" s="10"/>
      <c r="P155" s="10"/>
    </row>
    <row r="156" spans="2:16" ht="143.4" customHeight="1" thickBot="1" x14ac:dyDescent="0.35">
      <c r="B156" s="118">
        <v>142</v>
      </c>
      <c r="C156" s="119" t="s">
        <v>147</v>
      </c>
      <c r="D156" s="224" t="s">
        <v>126</v>
      </c>
      <c r="E156" s="225">
        <v>2028</v>
      </c>
      <c r="F156" s="112">
        <v>2028</v>
      </c>
      <c r="G156" s="164" t="s">
        <v>53</v>
      </c>
      <c r="H156" s="368">
        <f>I156+J156+K156+L156+M156</f>
        <v>4639546</v>
      </c>
      <c r="I156" s="167">
        <f>I158+I159+I160</f>
        <v>0</v>
      </c>
      <c r="J156" s="167">
        <f>J158+J159+J160</f>
        <v>0</v>
      </c>
      <c r="K156" s="208">
        <f>SUM(K158:K160)</f>
        <v>0</v>
      </c>
      <c r="L156" s="208">
        <f>SUM(L158:L160)</f>
        <v>0</v>
      </c>
      <c r="M156" s="379">
        <v>4639546</v>
      </c>
      <c r="N156" s="41"/>
      <c r="O156" s="10"/>
      <c r="P156" s="10"/>
    </row>
    <row r="157" spans="2:16" ht="40.049999999999997" customHeight="1" thickBot="1" x14ac:dyDescent="0.35">
      <c r="B157" s="118">
        <v>143</v>
      </c>
      <c r="C157" s="226" t="s">
        <v>0</v>
      </c>
      <c r="D157" s="227"/>
      <c r="E157" s="128"/>
      <c r="F157" s="127"/>
      <c r="G157" s="228"/>
      <c r="H157" s="370"/>
      <c r="I157" s="377"/>
      <c r="J157" s="325"/>
      <c r="K157" s="238"/>
      <c r="L157" s="238"/>
      <c r="M157" s="326"/>
      <c r="N157" s="41"/>
      <c r="O157" s="10"/>
      <c r="P157" s="10"/>
    </row>
    <row r="158" spans="2:16" ht="40.049999999999997" customHeight="1" thickBot="1" x14ac:dyDescent="0.35">
      <c r="B158" s="118">
        <v>144</v>
      </c>
      <c r="C158" s="195" t="s">
        <v>1</v>
      </c>
      <c r="D158" s="196"/>
      <c r="E158" s="139"/>
      <c r="F158" s="134"/>
      <c r="G158" s="175"/>
      <c r="H158" s="378">
        <f>I158+J158+L158+M158</f>
        <v>4547219.0346000008</v>
      </c>
      <c r="I158" s="177">
        <v>0</v>
      </c>
      <c r="J158" s="177">
        <v>0</v>
      </c>
      <c r="K158" s="176">
        <v>0</v>
      </c>
      <c r="L158" s="176">
        <v>0</v>
      </c>
      <c r="M158" s="177">
        <v>4547219.0346000008</v>
      </c>
      <c r="N158" s="41"/>
      <c r="O158" s="10"/>
      <c r="P158" s="10"/>
    </row>
    <row r="159" spans="2:16" ht="40.049999999999997" customHeight="1" thickBot="1" x14ac:dyDescent="0.35">
      <c r="B159" s="118">
        <v>145</v>
      </c>
      <c r="C159" s="195" t="s">
        <v>2</v>
      </c>
      <c r="D159" s="196"/>
      <c r="E159" s="139"/>
      <c r="F159" s="134"/>
      <c r="G159" s="175"/>
      <c r="H159" s="378">
        <f>I159+J159+K159+L159+M159</f>
        <v>45931.505400000002</v>
      </c>
      <c r="I159" s="177">
        <v>0</v>
      </c>
      <c r="J159" s="177">
        <v>0</v>
      </c>
      <c r="K159" s="176">
        <v>0</v>
      </c>
      <c r="L159" s="176">
        <v>0</v>
      </c>
      <c r="M159" s="177">
        <v>45931.505400000002</v>
      </c>
      <c r="N159" s="41"/>
      <c r="O159" s="10"/>
      <c r="P159" s="10"/>
    </row>
    <row r="160" spans="2:16" ht="40.049999999999997" customHeight="1" thickBot="1" x14ac:dyDescent="0.35">
      <c r="B160" s="118">
        <v>146</v>
      </c>
      <c r="C160" s="199" t="s">
        <v>3</v>
      </c>
      <c r="D160" s="200"/>
      <c r="E160" s="201"/>
      <c r="F160" s="161"/>
      <c r="G160" s="202"/>
      <c r="H160" s="373">
        <f>I160+J160+K160+L160+M160</f>
        <v>46395.45999999917</v>
      </c>
      <c r="I160" s="205">
        <v>0</v>
      </c>
      <c r="J160" s="205">
        <v>0</v>
      </c>
      <c r="K160" s="184">
        <v>0</v>
      </c>
      <c r="L160" s="184">
        <v>0</v>
      </c>
      <c r="M160" s="205">
        <v>46395.45999999917</v>
      </c>
      <c r="N160" s="41"/>
      <c r="O160" s="10"/>
      <c r="P160" s="10"/>
    </row>
    <row r="161" spans="1:23" ht="184.8" customHeight="1" thickBot="1" x14ac:dyDescent="0.35">
      <c r="B161" s="118">
        <v>147</v>
      </c>
      <c r="C161" s="119" t="s">
        <v>148</v>
      </c>
      <c r="D161" s="224" t="s">
        <v>127</v>
      </c>
      <c r="E161" s="225">
        <v>2024</v>
      </c>
      <c r="F161" s="112">
        <v>2024</v>
      </c>
      <c r="G161" s="164" t="s">
        <v>28</v>
      </c>
      <c r="H161" s="298">
        <f>I161+J161+K161+L161+M161</f>
        <v>200</v>
      </c>
      <c r="I161" s="188">
        <f>I163+I164+I165</f>
        <v>200</v>
      </c>
      <c r="J161" s="331">
        <f>J163+J164+J165</f>
        <v>0</v>
      </c>
      <c r="K161" s="188">
        <f>SUM(K163:K165)</f>
        <v>0</v>
      </c>
      <c r="L161" s="188">
        <f>SUM(L163:L165)</f>
        <v>0</v>
      </c>
      <c r="M161" s="188">
        <f>SUM(M163:M165)</f>
        <v>0</v>
      </c>
      <c r="N161" s="41"/>
      <c r="O161" s="10"/>
      <c r="P161" s="10"/>
    </row>
    <row r="162" spans="1:23" ht="40.049999999999997" customHeight="1" thickBot="1" x14ac:dyDescent="0.35">
      <c r="B162" s="118">
        <v>148</v>
      </c>
      <c r="C162" s="226" t="s">
        <v>0</v>
      </c>
      <c r="D162" s="227"/>
      <c r="E162" s="128"/>
      <c r="F162" s="127"/>
      <c r="G162" s="228"/>
      <c r="H162" s="216"/>
      <c r="I162" s="301"/>
      <c r="J162" s="301"/>
      <c r="K162" s="288"/>
      <c r="L162" s="301"/>
      <c r="M162" s="301"/>
      <c r="N162" s="41"/>
      <c r="O162" s="10"/>
      <c r="P162" s="10"/>
    </row>
    <row r="163" spans="1:23" ht="40.049999999999997" customHeight="1" thickBot="1" x14ac:dyDescent="0.35">
      <c r="B163" s="118">
        <v>149</v>
      </c>
      <c r="C163" s="195" t="s">
        <v>1</v>
      </c>
      <c r="D163" s="196"/>
      <c r="E163" s="139"/>
      <c r="F163" s="134"/>
      <c r="G163" s="175"/>
      <c r="H163" s="291">
        <f>I163+J163+K163+L163+M163</f>
        <v>0</v>
      </c>
      <c r="I163" s="244">
        <v>0</v>
      </c>
      <c r="J163" s="244">
        <v>0</v>
      </c>
      <c r="K163" s="197">
        <v>0</v>
      </c>
      <c r="L163" s="244">
        <v>0</v>
      </c>
      <c r="M163" s="244">
        <v>0</v>
      </c>
      <c r="N163" s="41"/>
      <c r="O163" s="10"/>
      <c r="P163" s="10"/>
    </row>
    <row r="164" spans="1:23" ht="40.049999999999997" customHeight="1" thickBot="1" x14ac:dyDescent="0.35">
      <c r="B164" s="118">
        <v>150</v>
      </c>
      <c r="C164" s="195" t="s">
        <v>2</v>
      </c>
      <c r="D164" s="196"/>
      <c r="E164" s="139"/>
      <c r="F164" s="134"/>
      <c r="G164" s="175"/>
      <c r="H164" s="291">
        <f>I164+J164+K164+L164+M164</f>
        <v>0</v>
      </c>
      <c r="I164" s="244">
        <v>0</v>
      </c>
      <c r="J164" s="244">
        <v>0</v>
      </c>
      <c r="K164" s="197">
        <v>0</v>
      </c>
      <c r="L164" s="244">
        <v>0</v>
      </c>
      <c r="M164" s="244">
        <v>0</v>
      </c>
      <c r="N164" s="41"/>
      <c r="O164" s="10"/>
      <c r="P164" s="10"/>
    </row>
    <row r="165" spans="1:23" ht="40.049999999999997" customHeight="1" thickBot="1" x14ac:dyDescent="0.35">
      <c r="B165" s="118">
        <v>151</v>
      </c>
      <c r="C165" s="199" t="s">
        <v>3</v>
      </c>
      <c r="D165" s="200"/>
      <c r="E165" s="201"/>
      <c r="F165" s="161"/>
      <c r="G165" s="202"/>
      <c r="H165" s="294">
        <f>I165+J165+K165+L165+M165</f>
        <v>200</v>
      </c>
      <c r="I165" s="203">
        <v>200</v>
      </c>
      <c r="J165" s="203">
        <v>0</v>
      </c>
      <c r="K165" s="336">
        <v>0</v>
      </c>
      <c r="L165" s="244">
        <v>0</v>
      </c>
      <c r="M165" s="303">
        <v>0</v>
      </c>
      <c r="N165" s="41"/>
      <c r="O165" s="10"/>
      <c r="P165" s="10"/>
    </row>
    <row r="166" spans="1:23" ht="103.8" customHeight="1" thickBot="1" x14ac:dyDescent="0.35">
      <c r="B166" s="118">
        <v>152</v>
      </c>
      <c r="C166" s="380" t="s">
        <v>143</v>
      </c>
      <c r="D166" s="312" t="s">
        <v>128</v>
      </c>
      <c r="E166" s="381">
        <v>2023</v>
      </c>
      <c r="F166" s="315">
        <v>2024</v>
      </c>
      <c r="G166" s="246" t="s">
        <v>106</v>
      </c>
      <c r="H166" s="368">
        <f>I166+J166+K166+L166+M166</f>
        <v>553036.21502999996</v>
      </c>
      <c r="I166" s="167">
        <f>I168+I169+I170</f>
        <v>553036.21502999996</v>
      </c>
      <c r="J166" s="208">
        <f>J168+J169+J170</f>
        <v>0</v>
      </c>
      <c r="K166" s="208">
        <f>SUM(K168:K170)</f>
        <v>0</v>
      </c>
      <c r="L166" s="208">
        <f>SUM(L168:L170)</f>
        <v>0</v>
      </c>
      <c r="M166" s="167">
        <f>M168+M169+M170</f>
        <v>0</v>
      </c>
      <c r="N166" s="41"/>
      <c r="O166" s="10"/>
      <c r="P166" s="10"/>
    </row>
    <row r="167" spans="1:23" ht="40.049999999999997" customHeight="1" thickBot="1" x14ac:dyDescent="0.35">
      <c r="B167" s="118">
        <v>153</v>
      </c>
      <c r="C167" s="226" t="s">
        <v>0</v>
      </c>
      <c r="D167" s="299"/>
      <c r="E167" s="128"/>
      <c r="F167" s="128"/>
      <c r="G167" s="127"/>
      <c r="H167" s="370"/>
      <c r="I167" s="325"/>
      <c r="J167" s="325"/>
      <c r="K167" s="238"/>
      <c r="L167" s="238"/>
      <c r="M167" s="325"/>
      <c r="N167" s="41"/>
      <c r="O167" s="10"/>
      <c r="P167" s="10"/>
    </row>
    <row r="168" spans="1:23" ht="40.049999999999997" customHeight="1" thickBot="1" x14ac:dyDescent="0.35">
      <c r="B168" s="118">
        <v>154</v>
      </c>
      <c r="C168" s="195" t="s">
        <v>1</v>
      </c>
      <c r="D168" s="242"/>
      <c r="E168" s="139"/>
      <c r="F168" s="139"/>
      <c r="G168" s="134"/>
      <c r="H168" s="136">
        <f>I168+J168+K168+L168+M168</f>
        <v>553036.21502999996</v>
      </c>
      <c r="I168" s="177">
        <v>553036.21502999996</v>
      </c>
      <c r="J168" s="177">
        <v>0</v>
      </c>
      <c r="K168" s="176">
        <v>0</v>
      </c>
      <c r="L168" s="176">
        <v>0</v>
      </c>
      <c r="M168" s="177">
        <v>0</v>
      </c>
      <c r="N168" s="77"/>
      <c r="O168" s="10"/>
      <c r="P168" s="10"/>
    </row>
    <row r="169" spans="1:23" ht="40.049999999999997" customHeight="1" thickBot="1" x14ac:dyDescent="0.35">
      <c r="B169" s="118">
        <v>155</v>
      </c>
      <c r="C169" s="195" t="s">
        <v>2</v>
      </c>
      <c r="D169" s="242"/>
      <c r="E169" s="139"/>
      <c r="F169" s="139"/>
      <c r="G169" s="134"/>
      <c r="H169" s="136">
        <f>I169+J169+K169+L169+M169</f>
        <v>0</v>
      </c>
      <c r="I169" s="177">
        <v>0</v>
      </c>
      <c r="J169" s="177">
        <v>0</v>
      </c>
      <c r="K169" s="176">
        <v>0</v>
      </c>
      <c r="L169" s="176">
        <v>0</v>
      </c>
      <c r="M169" s="177">
        <v>0</v>
      </c>
      <c r="N169" s="41"/>
      <c r="O169" s="10"/>
      <c r="P169" s="10"/>
    </row>
    <row r="170" spans="1:23" s="97" customFormat="1" ht="40.049999999999997" customHeight="1" thickBot="1" x14ac:dyDescent="0.35">
      <c r="A170" s="22"/>
      <c r="B170" s="118">
        <v>156</v>
      </c>
      <c r="C170" s="229" t="s">
        <v>3</v>
      </c>
      <c r="D170" s="245"/>
      <c r="E170" s="335"/>
      <c r="F170" s="335"/>
      <c r="G170" s="180"/>
      <c r="H170" s="347">
        <f>I170+J170+K170+L170+M170</f>
        <v>0</v>
      </c>
      <c r="I170" s="248">
        <v>0</v>
      </c>
      <c r="J170" s="336">
        <v>0</v>
      </c>
      <c r="K170" s="184">
        <v>0</v>
      </c>
      <c r="L170" s="184">
        <v>0</v>
      </c>
      <c r="M170" s="248">
        <v>0</v>
      </c>
      <c r="N170" s="41"/>
      <c r="O170" s="10"/>
      <c r="P170" s="10"/>
      <c r="V170" s="22"/>
      <c r="W170" s="22"/>
    </row>
    <row r="171" spans="1:23" s="97" customFormat="1" ht="313.2" customHeight="1" thickBot="1" x14ac:dyDescent="0.35">
      <c r="A171" s="22"/>
      <c r="B171" s="118">
        <v>157</v>
      </c>
      <c r="C171" s="382" t="s">
        <v>166</v>
      </c>
      <c r="D171" s="383" t="s">
        <v>141</v>
      </c>
      <c r="E171" s="339">
        <v>2024</v>
      </c>
      <c r="F171" s="339">
        <v>2025</v>
      </c>
      <c r="G171" s="339" t="s">
        <v>28</v>
      </c>
      <c r="H171" s="384">
        <f>I171+J171+K171+L171+M171</f>
        <v>385000</v>
      </c>
      <c r="I171" s="167">
        <f>I173+I174+I175</f>
        <v>115500</v>
      </c>
      <c r="J171" s="208">
        <f>J173+J174+J175</f>
        <v>269500</v>
      </c>
      <c r="K171" s="208">
        <f>SUM(K173:K175)</f>
        <v>0</v>
      </c>
      <c r="L171" s="208">
        <f>SUM(L173:L175)</f>
        <v>0</v>
      </c>
      <c r="M171" s="167">
        <f>M173+M174+M175</f>
        <v>0</v>
      </c>
      <c r="N171" s="41"/>
      <c r="O171" s="10"/>
      <c r="P171" s="10"/>
      <c r="V171" s="22"/>
      <c r="W171" s="22"/>
    </row>
    <row r="172" spans="1:23" s="97" customFormat="1" ht="40.049999999999997" customHeight="1" thickBot="1" x14ac:dyDescent="0.35">
      <c r="A172" s="22"/>
      <c r="B172" s="118">
        <v>158</v>
      </c>
      <c r="C172" s="226" t="s">
        <v>0</v>
      </c>
      <c r="D172" s="153"/>
      <c r="E172" s="127"/>
      <c r="F172" s="127"/>
      <c r="G172" s="127"/>
      <c r="H172" s="370"/>
      <c r="I172" s="325"/>
      <c r="J172" s="325"/>
      <c r="K172" s="238"/>
      <c r="L172" s="238"/>
      <c r="M172" s="325"/>
      <c r="N172" s="41"/>
      <c r="O172" s="10"/>
      <c r="P172" s="10"/>
      <c r="V172" s="22"/>
      <c r="W172" s="22"/>
    </row>
    <row r="173" spans="1:23" s="97" customFormat="1" ht="40.049999999999997" customHeight="1" thickBot="1" x14ac:dyDescent="0.35">
      <c r="A173" s="22"/>
      <c r="B173" s="118">
        <v>159</v>
      </c>
      <c r="C173" s="195" t="s">
        <v>1</v>
      </c>
      <c r="D173" s="156"/>
      <c r="E173" s="134"/>
      <c r="F173" s="134"/>
      <c r="G173" s="134"/>
      <c r="H173" s="136">
        <f>I173+J173+K173+L173+M173</f>
        <v>385000</v>
      </c>
      <c r="I173" s="176">
        <v>115500</v>
      </c>
      <c r="J173" s="176">
        <v>269500</v>
      </c>
      <c r="K173" s="176">
        <v>0</v>
      </c>
      <c r="L173" s="176">
        <v>0</v>
      </c>
      <c r="M173" s="176">
        <v>0</v>
      </c>
      <c r="N173" s="41"/>
      <c r="O173" s="10"/>
      <c r="P173" s="10"/>
      <c r="V173" s="22"/>
      <c r="W173" s="22"/>
    </row>
    <row r="174" spans="1:23" s="97" customFormat="1" ht="40.049999999999997" customHeight="1" thickBot="1" x14ac:dyDescent="0.35">
      <c r="A174" s="22"/>
      <c r="B174" s="118">
        <v>160</v>
      </c>
      <c r="C174" s="195" t="s">
        <v>2</v>
      </c>
      <c r="D174" s="156"/>
      <c r="E174" s="134"/>
      <c r="F174" s="134"/>
      <c r="G174" s="134"/>
      <c r="H174" s="136">
        <f>I174+J174+K174+L174+M174</f>
        <v>0</v>
      </c>
      <c r="I174" s="176">
        <v>0</v>
      </c>
      <c r="J174" s="176">
        <v>0</v>
      </c>
      <c r="K174" s="176">
        <v>0</v>
      </c>
      <c r="L174" s="176">
        <v>0</v>
      </c>
      <c r="M174" s="176">
        <v>0</v>
      </c>
      <c r="N174" s="41"/>
      <c r="O174" s="10"/>
      <c r="P174" s="10"/>
      <c r="V174" s="22"/>
      <c r="W174" s="22"/>
    </row>
    <row r="175" spans="1:23" s="97" customFormat="1" ht="51.6" customHeight="1" thickBot="1" x14ac:dyDescent="0.35">
      <c r="A175" s="22"/>
      <c r="B175" s="118">
        <v>161</v>
      </c>
      <c r="C175" s="199" t="s">
        <v>3</v>
      </c>
      <c r="D175" s="160"/>
      <c r="E175" s="161"/>
      <c r="F175" s="161"/>
      <c r="G175" s="161"/>
      <c r="H175" s="294">
        <f>I175+J175+K175+L175+M175</f>
        <v>0</v>
      </c>
      <c r="I175" s="203">
        <v>0</v>
      </c>
      <c r="J175" s="203">
        <v>0</v>
      </c>
      <c r="K175" s="212">
        <v>0</v>
      </c>
      <c r="L175" s="212">
        <v>0</v>
      </c>
      <c r="M175" s="203">
        <v>0</v>
      </c>
      <c r="N175" s="41"/>
      <c r="O175" s="10"/>
      <c r="P175" s="10"/>
      <c r="V175" s="22"/>
      <c r="W175" s="22"/>
    </row>
    <row r="176" spans="1:23" s="97" customFormat="1" ht="249" customHeight="1" thickBot="1" x14ac:dyDescent="0.35">
      <c r="A176" s="22"/>
      <c r="B176" s="118">
        <v>162</v>
      </c>
      <c r="C176" s="311" t="s">
        <v>154</v>
      </c>
      <c r="D176" s="385" t="s">
        <v>141</v>
      </c>
      <c r="E176" s="313">
        <v>2024</v>
      </c>
      <c r="F176" s="314">
        <v>2024</v>
      </c>
      <c r="G176" s="246" t="s">
        <v>28</v>
      </c>
      <c r="H176" s="386">
        <f>I176+J176+K176+L176+M176</f>
        <v>550</v>
      </c>
      <c r="I176" s="387">
        <f>I178+I179+I180</f>
        <v>550</v>
      </c>
      <c r="J176" s="231">
        <f>J178+J179+J180</f>
        <v>0</v>
      </c>
      <c r="K176" s="231">
        <f>SUM(K178:K180)</f>
        <v>0</v>
      </c>
      <c r="L176" s="208">
        <f>SUM(L178:L180)</f>
        <v>0</v>
      </c>
      <c r="M176" s="167">
        <f>M178+M179+M180</f>
        <v>0</v>
      </c>
      <c r="N176" s="41"/>
      <c r="O176" s="10"/>
      <c r="P176" s="10"/>
      <c r="V176" s="22"/>
      <c r="W176" s="22"/>
    </row>
    <row r="177" spans="1:23" s="97" customFormat="1" ht="51.6" customHeight="1" thickBot="1" x14ac:dyDescent="0.35">
      <c r="A177" s="22"/>
      <c r="B177" s="118">
        <v>163</v>
      </c>
      <c r="C177" s="318" t="s">
        <v>0</v>
      </c>
      <c r="D177" s="227"/>
      <c r="E177" s="128"/>
      <c r="F177" s="128"/>
      <c r="G177" s="128"/>
      <c r="H177" s="388"/>
      <c r="I177" s="389"/>
      <c r="J177" s="389"/>
      <c r="K177" s="238"/>
      <c r="L177" s="238"/>
      <c r="M177" s="325"/>
      <c r="N177" s="41"/>
      <c r="O177" s="10"/>
      <c r="P177" s="10"/>
      <c r="V177" s="22"/>
      <c r="W177" s="22"/>
    </row>
    <row r="178" spans="1:23" s="97" customFormat="1" ht="51.6" customHeight="1" thickBot="1" x14ac:dyDescent="0.35">
      <c r="A178" s="22"/>
      <c r="B178" s="118">
        <v>164</v>
      </c>
      <c r="C178" s="319" t="s">
        <v>1</v>
      </c>
      <c r="D178" s="196"/>
      <c r="E178" s="139"/>
      <c r="F178" s="139"/>
      <c r="G178" s="139"/>
      <c r="H178" s="266">
        <f>I178+J178+K178+L178+M178</f>
        <v>0</v>
      </c>
      <c r="I178" s="255">
        <v>0</v>
      </c>
      <c r="J178" s="255">
        <v>0</v>
      </c>
      <c r="K178" s="176">
        <v>0</v>
      </c>
      <c r="L178" s="176">
        <v>0</v>
      </c>
      <c r="M178" s="176">
        <v>0</v>
      </c>
      <c r="N178" s="41"/>
      <c r="O178" s="10"/>
      <c r="P178" s="10"/>
      <c r="V178" s="22"/>
      <c r="W178" s="22"/>
    </row>
    <row r="179" spans="1:23" s="97" customFormat="1" ht="51.6" customHeight="1" thickBot="1" x14ac:dyDescent="0.35">
      <c r="A179" s="22"/>
      <c r="B179" s="118">
        <v>165</v>
      </c>
      <c r="C179" s="319" t="s">
        <v>2</v>
      </c>
      <c r="D179" s="196"/>
      <c r="E179" s="139"/>
      <c r="F179" s="139"/>
      <c r="G179" s="139"/>
      <c r="H179" s="266">
        <f>I179+J179+K179+L179+M179</f>
        <v>300</v>
      </c>
      <c r="I179" s="255">
        <v>300</v>
      </c>
      <c r="J179" s="255">
        <v>0</v>
      </c>
      <c r="K179" s="176">
        <v>0</v>
      </c>
      <c r="L179" s="176">
        <v>0</v>
      </c>
      <c r="M179" s="176">
        <v>0</v>
      </c>
      <c r="N179" s="41"/>
      <c r="O179" s="10"/>
      <c r="P179" s="10"/>
      <c r="V179" s="22"/>
      <c r="W179" s="22"/>
    </row>
    <row r="180" spans="1:23" s="97" customFormat="1" ht="51.6" customHeight="1" thickBot="1" x14ac:dyDescent="0.35">
      <c r="A180" s="22"/>
      <c r="B180" s="118">
        <v>166</v>
      </c>
      <c r="C180" s="320" t="s">
        <v>3</v>
      </c>
      <c r="D180" s="200"/>
      <c r="E180" s="201"/>
      <c r="F180" s="201"/>
      <c r="G180" s="201"/>
      <c r="H180" s="390">
        <f>I180+J180+K180+L180+M180</f>
        <v>250</v>
      </c>
      <c r="I180" s="256">
        <v>250</v>
      </c>
      <c r="J180" s="256">
        <v>0</v>
      </c>
      <c r="K180" s="212">
        <v>0</v>
      </c>
      <c r="L180" s="212">
        <v>0</v>
      </c>
      <c r="M180" s="203">
        <v>0</v>
      </c>
      <c r="N180" s="41"/>
      <c r="O180" s="10"/>
      <c r="P180" s="10"/>
      <c r="V180" s="22"/>
      <c r="W180" s="22"/>
    </row>
    <row r="181" spans="1:23" ht="89.4" customHeight="1" thickBot="1" x14ac:dyDescent="0.35">
      <c r="B181" s="118">
        <v>167</v>
      </c>
      <c r="C181" s="391" t="s">
        <v>164</v>
      </c>
      <c r="D181" s="258"/>
      <c r="E181" s="149"/>
      <c r="F181" s="259"/>
      <c r="G181" s="260" t="s">
        <v>37</v>
      </c>
      <c r="H181" s="344">
        <f>I181+J181+K181+L181+M181</f>
        <v>141891.41999999998</v>
      </c>
      <c r="I181" s="392">
        <f>SUM(I183:I185)</f>
        <v>11050</v>
      </c>
      <c r="J181" s="393">
        <f>SUM(J183:J185)</f>
        <v>5000</v>
      </c>
      <c r="K181" s="231">
        <f>SUM(K183:K185)</f>
        <v>0</v>
      </c>
      <c r="L181" s="231">
        <f>SUM(L183:L185)</f>
        <v>0</v>
      </c>
      <c r="M181" s="394">
        <f>SUM(M183:M185)</f>
        <v>125841.41999999998</v>
      </c>
      <c r="N181" s="10"/>
      <c r="O181" s="16"/>
      <c r="P181" s="23" t="e">
        <f>#REF!+#REF!+#REF!+#REF!+#REF!+#REF!</f>
        <v>#REF!</v>
      </c>
      <c r="Q181" s="23" t="e">
        <f>#REF!+#REF!+#REF!+#REF!+#REF!+#REF!</f>
        <v>#REF!</v>
      </c>
      <c r="R181" s="23" t="e">
        <f>#REF!+#REF!+I186+I191+#REF!+#REF!</f>
        <v>#REF!</v>
      </c>
      <c r="S181" s="23" t="e">
        <f>#REF!+#REF!+J186+J191+#REF!+#REF!</f>
        <v>#REF!</v>
      </c>
    </row>
    <row r="182" spans="1:23" ht="40.049999999999997" customHeight="1" thickBot="1" x14ac:dyDescent="0.35">
      <c r="B182" s="118">
        <v>168</v>
      </c>
      <c r="C182" s="189" t="s">
        <v>0</v>
      </c>
      <c r="D182" s="190"/>
      <c r="E182" s="191"/>
      <c r="F182" s="127"/>
      <c r="G182" s="170"/>
      <c r="H182" s="264"/>
      <c r="I182" s="155"/>
      <c r="J182" s="155"/>
      <c r="K182" s="155"/>
      <c r="L182" s="155"/>
      <c r="M182" s="155"/>
      <c r="N182" s="50"/>
      <c r="O182" s="16"/>
      <c r="P182" s="23" t="e">
        <f>#REF!+#REF!+#REF!+#REF!+#REF!+#REF!</f>
        <v>#REF!</v>
      </c>
      <c r="Q182" s="23" t="e">
        <f>#REF!+#REF!+#REF!+#REF!+#REF!+#REF!</f>
        <v>#REF!</v>
      </c>
      <c r="R182" s="23" t="e">
        <f>#REF!+#REF!+I187+I192+#REF!+#REF!</f>
        <v>#REF!</v>
      </c>
      <c r="S182" s="23" t="e">
        <f>#REF!+#REF!+J187+J192+#REF!+#REF!</f>
        <v>#REF!</v>
      </c>
    </row>
    <row r="183" spans="1:23" ht="40.049999999999997" customHeight="1" thickBot="1" x14ac:dyDescent="0.35">
      <c r="B183" s="118">
        <v>169</v>
      </c>
      <c r="C183" s="195" t="s">
        <v>1</v>
      </c>
      <c r="D183" s="196"/>
      <c r="E183" s="139"/>
      <c r="F183" s="134"/>
      <c r="G183" s="175"/>
      <c r="H183" s="268">
        <f>I183+J183+K183+L183+M183</f>
        <v>118650.48849430142</v>
      </c>
      <c r="I183" s="158">
        <f t="shared" ref="I183:M185" si="4">I188+I193+I198+I203+I208+I213+I218+I223</f>
        <v>0</v>
      </c>
      <c r="J183" s="158">
        <f t="shared" si="4"/>
        <v>0</v>
      </c>
      <c r="K183" s="158">
        <f t="shared" si="4"/>
        <v>0</v>
      </c>
      <c r="L183" s="158">
        <f t="shared" si="4"/>
        <v>0</v>
      </c>
      <c r="M183" s="158">
        <f t="shared" si="4"/>
        <v>118650.48849430142</v>
      </c>
      <c r="N183" s="50"/>
      <c r="O183" s="16"/>
      <c r="P183" s="23" t="e">
        <f>#REF!+#REF!+#REF!+#REF!+#REF!+#REF!</f>
        <v>#REF!</v>
      </c>
      <c r="Q183" s="23" t="e">
        <f>#REF!+#REF!+#REF!+#REF!+#REF!+#REF!</f>
        <v>#REF!</v>
      </c>
      <c r="R183" s="23" t="e">
        <f>#REF!+#REF!+I188+I193+#REF!+#REF!</f>
        <v>#REF!</v>
      </c>
      <c r="S183" s="23" t="e">
        <f>#REF!+#REF!+J188+J193+#REF!+#REF!</f>
        <v>#REF!</v>
      </c>
    </row>
    <row r="184" spans="1:23" ht="40.049999999999997" customHeight="1" thickBot="1" x14ac:dyDescent="0.35">
      <c r="B184" s="118">
        <v>170</v>
      </c>
      <c r="C184" s="195" t="s">
        <v>2</v>
      </c>
      <c r="D184" s="196"/>
      <c r="E184" s="139"/>
      <c r="F184" s="134"/>
      <c r="G184" s="175"/>
      <c r="H184" s="268">
        <f>I184+J184+K184+L184+M184</f>
        <v>1198.4885842789006</v>
      </c>
      <c r="I184" s="158">
        <f t="shared" si="4"/>
        <v>0</v>
      </c>
      <c r="J184" s="158">
        <f t="shared" si="4"/>
        <v>0</v>
      </c>
      <c r="K184" s="158">
        <f t="shared" si="4"/>
        <v>0</v>
      </c>
      <c r="L184" s="158">
        <f t="shared" si="4"/>
        <v>0</v>
      </c>
      <c r="M184" s="158">
        <f t="shared" si="4"/>
        <v>1198.4885842789006</v>
      </c>
      <c r="N184" s="50"/>
      <c r="O184" s="16"/>
      <c r="P184" s="23" t="e">
        <f>#REF!+#REF!+#REF!+#REF!+#REF!+#REF!</f>
        <v>#REF!</v>
      </c>
      <c r="Q184" s="23" t="e">
        <f>#REF!+#REF!+#REF!+#REF!+#REF!+#REF!</f>
        <v>#REF!</v>
      </c>
      <c r="R184" s="23" t="e">
        <f>#REF!+#REF!+I189+I194+#REF!+#REF!</f>
        <v>#REF!</v>
      </c>
      <c r="S184" s="23" t="e">
        <f>#REF!+#REF!+J189+J194+#REF!+#REF!</f>
        <v>#REF!</v>
      </c>
    </row>
    <row r="185" spans="1:23" ht="40.049999999999997" customHeight="1" thickBot="1" x14ac:dyDescent="0.35">
      <c r="B185" s="118">
        <v>171</v>
      </c>
      <c r="C185" s="229" t="s">
        <v>3</v>
      </c>
      <c r="D185" s="222"/>
      <c r="E185" s="335"/>
      <c r="F185" s="161"/>
      <c r="G185" s="181"/>
      <c r="H185" s="269">
        <f>I185+J185+K185+L185+M185</f>
        <v>22042.442921419679</v>
      </c>
      <c r="I185" s="395">
        <f t="shared" si="4"/>
        <v>11050</v>
      </c>
      <c r="J185" s="395">
        <f t="shared" si="4"/>
        <v>5000</v>
      </c>
      <c r="K185" s="395">
        <f t="shared" si="4"/>
        <v>0</v>
      </c>
      <c r="L185" s="395">
        <f t="shared" si="4"/>
        <v>0</v>
      </c>
      <c r="M185" s="395">
        <f t="shared" si="4"/>
        <v>5992.4429214196789</v>
      </c>
      <c r="N185" s="50" t="s">
        <v>133</v>
      </c>
      <c r="O185" s="56">
        <f>I200+I205+I210+I215+I220</f>
        <v>9100</v>
      </c>
      <c r="P185" s="23" t="e">
        <f>#REF!+#REF!+#REF!+#REF!+#REF!+#REF!</f>
        <v>#REF!</v>
      </c>
      <c r="Q185" s="23" t="e">
        <f>#REF!+#REF!+#REF!+#REF!+#REF!+#REF!</f>
        <v>#REF!</v>
      </c>
      <c r="R185" s="23" t="e">
        <f>#REF!+#REF!+I190+I195+#REF!+#REF!</f>
        <v>#REF!</v>
      </c>
      <c r="S185" s="23" t="e">
        <f>#REF!+#REF!+J190+J195+#REF!+#REF!</f>
        <v>#REF!</v>
      </c>
    </row>
    <row r="186" spans="1:23" s="97" customFormat="1" ht="123.6" customHeight="1" thickBot="1" x14ac:dyDescent="0.35">
      <c r="A186" s="22"/>
      <c r="B186" s="118">
        <v>172</v>
      </c>
      <c r="C186" s="119" t="s">
        <v>91</v>
      </c>
      <c r="D186" s="224" t="s">
        <v>118</v>
      </c>
      <c r="E186" s="225">
        <v>2024</v>
      </c>
      <c r="F186" s="112">
        <v>2025</v>
      </c>
      <c r="G186" s="164" t="s">
        <v>28</v>
      </c>
      <c r="H186" s="396">
        <f>I186+J186+K186+L186+M186</f>
        <v>5000</v>
      </c>
      <c r="I186" s="397">
        <f>I188+I189+I190</f>
        <v>0</v>
      </c>
      <c r="J186" s="398">
        <f>SUM(J188:J190)</f>
        <v>5000</v>
      </c>
      <c r="K186" s="399">
        <f>SUM(K188:K190)</f>
        <v>0</v>
      </c>
      <c r="L186" s="262">
        <f>SUM(L188:L190)</f>
        <v>0</v>
      </c>
      <c r="M186" s="400">
        <f>M188+M189+M190</f>
        <v>0</v>
      </c>
      <c r="N186" s="10">
        <f>I185-O185</f>
        <v>1950</v>
      </c>
      <c r="O186" s="13"/>
      <c r="V186" s="22"/>
      <c r="W186" s="22"/>
    </row>
    <row r="187" spans="1:23" s="97" customFormat="1" ht="40.049999999999997" customHeight="1" thickBot="1" x14ac:dyDescent="0.35">
      <c r="A187" s="22"/>
      <c r="B187" s="118">
        <v>173</v>
      </c>
      <c r="C187" s="226" t="s">
        <v>0</v>
      </c>
      <c r="D187" s="227"/>
      <c r="E187" s="128"/>
      <c r="F187" s="127"/>
      <c r="G187" s="228"/>
      <c r="H187" s="401"/>
      <c r="I187" s="287"/>
      <c r="J187" s="325"/>
      <c r="K187" s="325"/>
      <c r="L187" s="238"/>
      <c r="M187" s="326"/>
      <c r="N187" s="50"/>
      <c r="O187" s="16"/>
      <c r="V187" s="22"/>
      <c r="W187" s="22"/>
    </row>
    <row r="188" spans="1:23" s="97" customFormat="1" ht="40.049999999999997" customHeight="1" thickBot="1" x14ac:dyDescent="0.35">
      <c r="A188" s="22"/>
      <c r="B188" s="118">
        <v>174</v>
      </c>
      <c r="C188" s="195" t="s">
        <v>1</v>
      </c>
      <c r="D188" s="196"/>
      <c r="E188" s="139"/>
      <c r="F188" s="134"/>
      <c r="G188" s="175"/>
      <c r="H188" s="347">
        <f>I188+J188+K188+L188+M188</f>
        <v>0</v>
      </c>
      <c r="I188" s="254">
        <v>0</v>
      </c>
      <c r="J188" s="176">
        <v>0</v>
      </c>
      <c r="K188" s="176">
        <v>0</v>
      </c>
      <c r="L188" s="176">
        <v>0</v>
      </c>
      <c r="M188" s="177">
        <v>0</v>
      </c>
      <c r="N188" s="50"/>
      <c r="O188" s="16"/>
      <c r="V188" s="22"/>
      <c r="W188" s="22"/>
    </row>
    <row r="189" spans="1:23" s="97" customFormat="1" ht="40.049999999999997" customHeight="1" thickBot="1" x14ac:dyDescent="0.35">
      <c r="A189" s="22"/>
      <c r="B189" s="118">
        <v>175</v>
      </c>
      <c r="C189" s="195" t="s">
        <v>2</v>
      </c>
      <c r="D189" s="196"/>
      <c r="E189" s="139"/>
      <c r="F189" s="134"/>
      <c r="G189" s="175"/>
      <c r="H189" s="347">
        <f>I189+J189+K189+L189+M189</f>
        <v>0</v>
      </c>
      <c r="I189" s="254">
        <v>0</v>
      </c>
      <c r="J189" s="176">
        <v>0</v>
      </c>
      <c r="K189" s="176">
        <v>0</v>
      </c>
      <c r="L189" s="176">
        <v>0</v>
      </c>
      <c r="M189" s="177">
        <v>0</v>
      </c>
      <c r="N189" s="50"/>
      <c r="O189" s="16"/>
      <c r="V189" s="22"/>
      <c r="W189" s="22"/>
    </row>
    <row r="190" spans="1:23" s="97" customFormat="1" ht="40.049999999999997" customHeight="1" thickBot="1" x14ac:dyDescent="0.35">
      <c r="A190" s="22"/>
      <c r="B190" s="118">
        <v>176</v>
      </c>
      <c r="C190" s="199" t="s">
        <v>3</v>
      </c>
      <c r="D190" s="200"/>
      <c r="E190" s="201"/>
      <c r="F190" s="161"/>
      <c r="G190" s="202"/>
      <c r="H190" s="347">
        <f>I190+J190+K190+L190+M190</f>
        <v>5000</v>
      </c>
      <c r="I190" s="256">
        <v>0</v>
      </c>
      <c r="J190" s="402">
        <v>5000</v>
      </c>
      <c r="K190" s="184">
        <v>0</v>
      </c>
      <c r="L190" s="184">
        <v>0</v>
      </c>
      <c r="M190" s="205">
        <v>0</v>
      </c>
      <c r="N190" s="572"/>
      <c r="O190" s="572"/>
      <c r="V190" s="22"/>
      <c r="W190" s="22"/>
    </row>
    <row r="191" spans="1:23" s="97" customFormat="1" ht="91.8" customHeight="1" thickBot="1" x14ac:dyDescent="0.35">
      <c r="A191" s="22"/>
      <c r="B191" s="118">
        <v>177</v>
      </c>
      <c r="C191" s="311" t="s">
        <v>92</v>
      </c>
      <c r="D191" s="224" t="s">
        <v>118</v>
      </c>
      <c r="E191" s="149">
        <v>2028</v>
      </c>
      <c r="F191" s="259">
        <v>2028</v>
      </c>
      <c r="G191" s="260" t="s">
        <v>38</v>
      </c>
      <c r="H191" s="151">
        <f>I191+J191+L191+M191</f>
        <v>125841.42</v>
      </c>
      <c r="I191" s="400">
        <f>I193+I194+I195</f>
        <v>0</v>
      </c>
      <c r="J191" s="400">
        <f>J193+J194+J195</f>
        <v>0</v>
      </c>
      <c r="K191" s="208">
        <f>SUM(K193:K195)</f>
        <v>0</v>
      </c>
      <c r="L191" s="208">
        <f>SUM(L193:L195)</f>
        <v>0</v>
      </c>
      <c r="M191" s="403">
        <v>125841.42</v>
      </c>
      <c r="N191" s="10"/>
      <c r="O191" s="13"/>
      <c r="V191" s="22"/>
      <c r="W191" s="22"/>
    </row>
    <row r="192" spans="1:23" ht="40.049999999999997" customHeight="1" thickBot="1" x14ac:dyDescent="0.35">
      <c r="B192" s="118">
        <v>178</v>
      </c>
      <c r="C192" s="226" t="s">
        <v>0</v>
      </c>
      <c r="D192" s="227"/>
      <c r="E192" s="128"/>
      <c r="F192" s="127"/>
      <c r="G192" s="228"/>
      <c r="H192" s="343"/>
      <c r="I192" s="326"/>
      <c r="J192" s="326"/>
      <c r="K192" s="238"/>
      <c r="L192" s="238"/>
      <c r="M192" s="404"/>
      <c r="N192" s="50"/>
      <c r="O192" s="16"/>
    </row>
    <row r="193" spans="1:23" ht="40.049999999999997" customHeight="1" thickBot="1" x14ac:dyDescent="0.35">
      <c r="B193" s="118">
        <v>179</v>
      </c>
      <c r="C193" s="195" t="s">
        <v>1</v>
      </c>
      <c r="D193" s="196"/>
      <c r="E193" s="139"/>
      <c r="F193" s="134"/>
      <c r="G193" s="175"/>
      <c r="H193" s="157">
        <f>I193+J193+K193+L193+M193</f>
        <v>118650.48849430142</v>
      </c>
      <c r="I193" s="177">
        <v>0</v>
      </c>
      <c r="J193" s="177">
        <v>0</v>
      </c>
      <c r="K193" s="176">
        <v>0</v>
      </c>
      <c r="L193" s="176">
        <v>0</v>
      </c>
      <c r="M193" s="405">
        <v>118650.48849430142</v>
      </c>
      <c r="N193" s="50"/>
      <c r="O193" s="16"/>
    </row>
    <row r="194" spans="1:23" ht="40.049999999999997" customHeight="1" thickBot="1" x14ac:dyDescent="0.35">
      <c r="B194" s="118">
        <v>180</v>
      </c>
      <c r="C194" s="195" t="s">
        <v>2</v>
      </c>
      <c r="D194" s="196"/>
      <c r="E194" s="139"/>
      <c r="F194" s="134"/>
      <c r="G194" s="175"/>
      <c r="H194" s="157">
        <f>I194+J194+K194+L194+M194</f>
        <v>1198.4885842789006</v>
      </c>
      <c r="I194" s="177">
        <v>0</v>
      </c>
      <c r="J194" s="177">
        <v>0</v>
      </c>
      <c r="K194" s="176">
        <v>0</v>
      </c>
      <c r="L194" s="176">
        <v>0</v>
      </c>
      <c r="M194" s="405">
        <v>1198.4885842789006</v>
      </c>
      <c r="N194" s="50"/>
      <c r="O194" s="16"/>
    </row>
    <row r="195" spans="1:23" ht="38.4" customHeight="1" thickBot="1" x14ac:dyDescent="0.35">
      <c r="B195" s="118">
        <v>181</v>
      </c>
      <c r="C195" s="199" t="s">
        <v>3</v>
      </c>
      <c r="D195" s="200"/>
      <c r="E195" s="201"/>
      <c r="F195" s="161"/>
      <c r="G195" s="202"/>
      <c r="H195" s="162">
        <f>I195+J195+K195+L195+M195</f>
        <v>5992.4429214196789</v>
      </c>
      <c r="I195" s="205">
        <v>0</v>
      </c>
      <c r="J195" s="205">
        <v>0</v>
      </c>
      <c r="K195" s="184">
        <v>0</v>
      </c>
      <c r="L195" s="184">
        <v>0</v>
      </c>
      <c r="M195" s="406">
        <v>5992.4429214196789</v>
      </c>
      <c r="N195" s="50"/>
      <c r="O195" s="16"/>
      <c r="Q195" s="16" t="s">
        <v>10</v>
      </c>
      <c r="R195" s="97">
        <v>2022</v>
      </c>
      <c r="V195" s="22" t="s">
        <v>11</v>
      </c>
      <c r="W195" s="22" t="s">
        <v>12</v>
      </c>
    </row>
    <row r="196" spans="1:23" ht="183" customHeight="1" thickBot="1" x14ac:dyDescent="0.35">
      <c r="A196" s="30"/>
      <c r="B196" s="118">
        <v>182</v>
      </c>
      <c r="C196" s="119" t="s">
        <v>93</v>
      </c>
      <c r="D196" s="224" t="s">
        <v>120</v>
      </c>
      <c r="E196" s="225">
        <v>2024</v>
      </c>
      <c r="F196" s="340">
        <v>2024</v>
      </c>
      <c r="G196" s="164" t="s">
        <v>28</v>
      </c>
      <c r="H196" s="283">
        <f>I196+J196+K196+L196+M196</f>
        <v>1950</v>
      </c>
      <c r="I196" s="188">
        <f>SUM(I198:I200)</f>
        <v>1950</v>
      </c>
      <c r="J196" s="400">
        <f>J198+J199+J200</f>
        <v>0</v>
      </c>
      <c r="K196" s="208">
        <f>SUM(K198:K200)</f>
        <v>0</v>
      </c>
      <c r="L196" s="208">
        <f>SUM(L198:L200)</f>
        <v>0</v>
      </c>
      <c r="M196" s="400">
        <f>M198+M199+M200</f>
        <v>0</v>
      </c>
      <c r="N196" s="50" t="s">
        <v>142</v>
      </c>
      <c r="O196" s="16"/>
    </row>
    <row r="197" spans="1:23" ht="39.6" customHeight="1" thickBot="1" x14ac:dyDescent="0.35">
      <c r="B197" s="118">
        <v>183</v>
      </c>
      <c r="C197" s="226" t="s">
        <v>0</v>
      </c>
      <c r="D197" s="407"/>
      <c r="E197" s="334"/>
      <c r="F197" s="127"/>
      <c r="G197" s="228"/>
      <c r="H197" s="216"/>
      <c r="I197" s="301"/>
      <c r="J197" s="326"/>
      <c r="K197" s="238"/>
      <c r="L197" s="238"/>
      <c r="M197" s="326"/>
      <c r="N197" s="50"/>
      <c r="O197" s="16"/>
    </row>
    <row r="198" spans="1:23" ht="39.6" customHeight="1" thickBot="1" x14ac:dyDescent="0.35">
      <c r="B198" s="118">
        <v>184</v>
      </c>
      <c r="C198" s="195" t="s">
        <v>1</v>
      </c>
      <c r="D198" s="156"/>
      <c r="E198" s="139"/>
      <c r="F198" s="134"/>
      <c r="G198" s="175"/>
      <c r="H198" s="291">
        <f>I198+J198+K198+L198+M198</f>
        <v>0</v>
      </c>
      <c r="I198" s="244">
        <v>0</v>
      </c>
      <c r="J198" s="177">
        <v>0</v>
      </c>
      <c r="K198" s="176">
        <v>0</v>
      </c>
      <c r="L198" s="176">
        <v>0</v>
      </c>
      <c r="M198" s="177">
        <v>0</v>
      </c>
      <c r="N198" s="50"/>
      <c r="O198" s="16"/>
    </row>
    <row r="199" spans="1:23" ht="39.6" customHeight="1" thickBot="1" x14ac:dyDescent="0.35">
      <c r="B199" s="118">
        <v>185</v>
      </c>
      <c r="C199" s="229" t="s">
        <v>2</v>
      </c>
      <c r="D199" s="408"/>
      <c r="E199" s="335"/>
      <c r="F199" s="134"/>
      <c r="G199" s="175"/>
      <c r="H199" s="291">
        <f>I199+J199+K199+L199+M199</f>
        <v>0</v>
      </c>
      <c r="I199" s="244">
        <v>0</v>
      </c>
      <c r="J199" s="177">
        <v>0</v>
      </c>
      <c r="K199" s="176">
        <v>0</v>
      </c>
      <c r="L199" s="176">
        <v>0</v>
      </c>
      <c r="M199" s="177">
        <v>0</v>
      </c>
      <c r="N199" s="50"/>
      <c r="O199" s="16"/>
    </row>
    <row r="200" spans="1:23" ht="45.6" customHeight="1" thickBot="1" x14ac:dyDescent="0.35">
      <c r="A200" s="30"/>
      <c r="B200" s="118">
        <v>186</v>
      </c>
      <c r="C200" s="199" t="s">
        <v>3</v>
      </c>
      <c r="D200" s="160"/>
      <c r="E200" s="201"/>
      <c r="F200" s="161"/>
      <c r="G200" s="202"/>
      <c r="H200" s="294">
        <f>I200</f>
        <v>1950</v>
      </c>
      <c r="I200" s="203">
        <v>1950</v>
      </c>
      <c r="J200" s="205">
        <v>0</v>
      </c>
      <c r="K200" s="184">
        <v>0</v>
      </c>
      <c r="L200" s="184">
        <v>0</v>
      </c>
      <c r="M200" s="205">
        <v>0</v>
      </c>
      <c r="N200" s="50"/>
      <c r="O200" s="16"/>
    </row>
    <row r="201" spans="1:23" ht="171.6" customHeight="1" thickBot="1" x14ac:dyDescent="0.35">
      <c r="A201" s="30"/>
      <c r="B201" s="118">
        <v>187</v>
      </c>
      <c r="C201" s="119" t="s">
        <v>94</v>
      </c>
      <c r="D201" s="224" t="s">
        <v>120</v>
      </c>
      <c r="E201" s="225">
        <v>2024</v>
      </c>
      <c r="F201" s="112">
        <v>2024</v>
      </c>
      <c r="G201" s="164" t="s">
        <v>28</v>
      </c>
      <c r="H201" s="396">
        <f>I201+J201+K201+L201+M201</f>
        <v>1950</v>
      </c>
      <c r="I201" s="152">
        <f>SUM(I203:I205)</f>
        <v>1950</v>
      </c>
      <c r="J201" s="400">
        <f>J203+J204+J205</f>
        <v>0</v>
      </c>
      <c r="K201" s="208">
        <f>SUM(K203:K205)</f>
        <v>0</v>
      </c>
      <c r="L201" s="208">
        <f>SUM(L203:L205)</f>
        <v>0</v>
      </c>
      <c r="M201" s="400">
        <f>M203+M204+M205</f>
        <v>0</v>
      </c>
      <c r="N201" s="50"/>
      <c r="O201" s="16"/>
    </row>
    <row r="202" spans="1:23" ht="40.049999999999997" customHeight="1" thickBot="1" x14ac:dyDescent="0.35">
      <c r="B202" s="118">
        <v>188</v>
      </c>
      <c r="C202" s="125" t="s">
        <v>0</v>
      </c>
      <c r="D202" s="168"/>
      <c r="E202" s="191"/>
      <c r="F202" s="127"/>
      <c r="G202" s="170"/>
      <c r="H202" s="154"/>
      <c r="I202" s="209"/>
      <c r="J202" s="326"/>
      <c r="K202" s="238"/>
      <c r="L202" s="238"/>
      <c r="M202" s="326"/>
      <c r="N202" s="50"/>
      <c r="O202" s="18"/>
    </row>
    <row r="203" spans="1:23" s="97" customFormat="1" ht="40.049999999999997" customHeight="1" thickBot="1" x14ac:dyDescent="0.35">
      <c r="A203" s="22"/>
      <c r="B203" s="118">
        <v>189</v>
      </c>
      <c r="C203" s="132" t="s">
        <v>1</v>
      </c>
      <c r="D203" s="409"/>
      <c r="E203" s="381"/>
      <c r="F203" s="134"/>
      <c r="G203" s="175"/>
      <c r="H203" s="136">
        <f>I203+J203+K203+L203+M203</f>
        <v>0</v>
      </c>
      <c r="I203" s="177">
        <v>0</v>
      </c>
      <c r="J203" s="177">
        <v>0</v>
      </c>
      <c r="K203" s="176">
        <v>0</v>
      </c>
      <c r="L203" s="176">
        <v>0</v>
      </c>
      <c r="M203" s="177">
        <v>0</v>
      </c>
      <c r="N203" s="50"/>
      <c r="O203" s="16"/>
      <c r="V203" s="22"/>
      <c r="W203" s="22"/>
    </row>
    <row r="204" spans="1:23" s="97" customFormat="1" ht="40.049999999999997" customHeight="1" thickBot="1" x14ac:dyDescent="0.35">
      <c r="A204" s="22"/>
      <c r="B204" s="118">
        <v>190</v>
      </c>
      <c r="C204" s="132" t="s">
        <v>2</v>
      </c>
      <c r="D204" s="156"/>
      <c r="E204" s="139"/>
      <c r="F204" s="134"/>
      <c r="G204" s="175"/>
      <c r="H204" s="136">
        <f>I204+J204+K204+L204+M204</f>
        <v>0</v>
      </c>
      <c r="I204" s="177">
        <v>0</v>
      </c>
      <c r="J204" s="177">
        <v>0</v>
      </c>
      <c r="K204" s="176">
        <v>0</v>
      </c>
      <c r="L204" s="176">
        <v>0</v>
      </c>
      <c r="M204" s="177">
        <v>0</v>
      </c>
      <c r="N204" s="50"/>
      <c r="O204" s="18"/>
      <c r="V204" s="22"/>
      <c r="W204" s="22"/>
    </row>
    <row r="205" spans="1:23" s="97" customFormat="1" ht="40.049999999999997" customHeight="1" thickBot="1" x14ac:dyDescent="0.35">
      <c r="A205" s="22"/>
      <c r="B205" s="118">
        <v>191</v>
      </c>
      <c r="C205" s="159" t="s">
        <v>3</v>
      </c>
      <c r="D205" s="409"/>
      <c r="E205" s="381"/>
      <c r="F205" s="161"/>
      <c r="G205" s="175"/>
      <c r="H205" s="162">
        <f>I205+J205+K205+L205+M205</f>
        <v>1950</v>
      </c>
      <c r="I205" s="410">
        <f>1300+650</f>
        <v>1950</v>
      </c>
      <c r="J205" s="205">
        <v>0</v>
      </c>
      <c r="K205" s="184">
        <v>0</v>
      </c>
      <c r="L205" s="184">
        <v>0</v>
      </c>
      <c r="M205" s="205">
        <v>0</v>
      </c>
      <c r="N205" s="50"/>
      <c r="O205" s="16"/>
      <c r="V205" s="22"/>
      <c r="W205" s="22"/>
    </row>
    <row r="206" spans="1:23" s="97" customFormat="1" ht="164.4" customHeight="1" thickBot="1" x14ac:dyDescent="0.35">
      <c r="A206" s="30"/>
      <c r="B206" s="118">
        <v>192</v>
      </c>
      <c r="C206" s="411" t="s">
        <v>95</v>
      </c>
      <c r="D206" s="338" t="s">
        <v>120</v>
      </c>
      <c r="E206" s="339">
        <v>2024</v>
      </c>
      <c r="F206" s="340">
        <v>2024</v>
      </c>
      <c r="G206" s="341" t="s">
        <v>28</v>
      </c>
      <c r="H206" s="412">
        <f>I206+J206+K206+L206+M206</f>
        <v>1950</v>
      </c>
      <c r="I206" s="152">
        <f>SUM(I208:I210)</f>
        <v>1950</v>
      </c>
      <c r="J206" s="400">
        <f>J208+J209+J210</f>
        <v>0</v>
      </c>
      <c r="K206" s="208">
        <f>SUM(K208:K210)</f>
        <v>0</v>
      </c>
      <c r="L206" s="208">
        <f>SUM(L208:L210)</f>
        <v>0</v>
      </c>
      <c r="M206" s="400">
        <f>M208+M209+M210</f>
        <v>0</v>
      </c>
      <c r="N206" s="50"/>
      <c r="O206" s="16"/>
      <c r="V206" s="22"/>
      <c r="W206" s="22"/>
    </row>
    <row r="207" spans="1:23" s="97" customFormat="1" ht="40.049999999999997" customHeight="1" thickBot="1" x14ac:dyDescent="0.35">
      <c r="A207" s="22"/>
      <c r="B207" s="118">
        <v>193</v>
      </c>
      <c r="C207" s="226" t="s">
        <v>0</v>
      </c>
      <c r="D207" s="407"/>
      <c r="E207" s="334"/>
      <c r="F207" s="127"/>
      <c r="G207" s="228"/>
      <c r="H207" s="154"/>
      <c r="I207" s="209"/>
      <c r="J207" s="326"/>
      <c r="K207" s="238"/>
      <c r="L207" s="238"/>
      <c r="M207" s="326"/>
      <c r="N207" s="50"/>
      <c r="O207" s="16"/>
      <c r="V207" s="22"/>
      <c r="W207" s="22"/>
    </row>
    <row r="208" spans="1:23" s="97" customFormat="1" ht="40.049999999999997" customHeight="1" thickBot="1" x14ac:dyDescent="0.35">
      <c r="A208" s="22"/>
      <c r="B208" s="118">
        <v>194</v>
      </c>
      <c r="C208" s="195" t="s">
        <v>1</v>
      </c>
      <c r="D208" s="156"/>
      <c r="E208" s="139"/>
      <c r="F208" s="134"/>
      <c r="G208" s="175"/>
      <c r="H208" s="136">
        <f>I208+J208+K208+L208+M208</f>
        <v>0</v>
      </c>
      <c r="I208" s="177">
        <v>0</v>
      </c>
      <c r="J208" s="177">
        <v>0</v>
      </c>
      <c r="K208" s="176">
        <v>0</v>
      </c>
      <c r="L208" s="176">
        <v>0</v>
      </c>
      <c r="M208" s="177">
        <v>0</v>
      </c>
      <c r="N208" s="50"/>
      <c r="O208" s="18"/>
      <c r="V208" s="22"/>
      <c r="W208" s="22"/>
    </row>
    <row r="209" spans="1:23" s="97" customFormat="1" ht="40.049999999999997" customHeight="1" thickBot="1" x14ac:dyDescent="0.35">
      <c r="A209" s="22"/>
      <c r="B209" s="118">
        <v>195</v>
      </c>
      <c r="C209" s="229" t="s">
        <v>2</v>
      </c>
      <c r="D209" s="409"/>
      <c r="E209" s="381"/>
      <c r="F209" s="134"/>
      <c r="G209" s="175"/>
      <c r="H209" s="136">
        <f>I209+J209+K209+L209+M209</f>
        <v>0</v>
      </c>
      <c r="I209" s="177">
        <v>0</v>
      </c>
      <c r="J209" s="177">
        <v>0</v>
      </c>
      <c r="K209" s="176">
        <v>0</v>
      </c>
      <c r="L209" s="176">
        <v>0</v>
      </c>
      <c r="M209" s="177">
        <v>0</v>
      </c>
      <c r="N209" s="50"/>
      <c r="O209" s="16"/>
      <c r="V209" s="22"/>
      <c r="W209" s="22"/>
    </row>
    <row r="210" spans="1:23" s="97" customFormat="1" ht="40.049999999999997" customHeight="1" thickBot="1" x14ac:dyDescent="0.35">
      <c r="A210" s="30"/>
      <c r="B210" s="118">
        <v>196</v>
      </c>
      <c r="C210" s="199" t="s">
        <v>3</v>
      </c>
      <c r="D210" s="413"/>
      <c r="E210" s="201"/>
      <c r="F210" s="161"/>
      <c r="G210" s="202"/>
      <c r="H210" s="162">
        <f>I210+J210+K210+L210+M210</f>
        <v>1950</v>
      </c>
      <c r="I210" s="410">
        <f>1300+650</f>
        <v>1950</v>
      </c>
      <c r="J210" s="205">
        <v>0</v>
      </c>
      <c r="K210" s="184">
        <v>0</v>
      </c>
      <c r="L210" s="184">
        <v>0</v>
      </c>
      <c r="M210" s="205">
        <v>0</v>
      </c>
      <c r="N210" s="50"/>
      <c r="O210" s="18"/>
      <c r="V210" s="22"/>
      <c r="W210" s="22"/>
    </row>
    <row r="211" spans="1:23" s="97" customFormat="1" ht="178.2" customHeight="1" thickBot="1" x14ac:dyDescent="0.35">
      <c r="A211" s="22"/>
      <c r="B211" s="118">
        <v>197</v>
      </c>
      <c r="C211" s="119" t="s">
        <v>177</v>
      </c>
      <c r="D211" s="224" t="s">
        <v>117</v>
      </c>
      <c r="E211" s="225">
        <v>2024</v>
      </c>
      <c r="F211" s="112">
        <v>2024</v>
      </c>
      <c r="G211" s="164" t="s">
        <v>28</v>
      </c>
      <c r="H211" s="414">
        <f>I211+J211+K211+L211+M211</f>
        <v>1300</v>
      </c>
      <c r="I211" s="152">
        <f>SUM(I213:I215)</f>
        <v>1300</v>
      </c>
      <c r="J211" s="400">
        <f>J213+J214+J215</f>
        <v>0</v>
      </c>
      <c r="K211" s="208">
        <f>SUM(K213:K215)</f>
        <v>0</v>
      </c>
      <c r="L211" s="208">
        <f>SUM(L213:L215)</f>
        <v>0</v>
      </c>
      <c r="M211" s="400">
        <f>M213+M214+M215</f>
        <v>0</v>
      </c>
      <c r="N211" s="50"/>
      <c r="O211" s="16"/>
      <c r="V211" s="22"/>
      <c r="W211" s="22"/>
    </row>
    <row r="212" spans="1:23" s="97" customFormat="1" ht="40.049999999999997" customHeight="1" thickBot="1" x14ac:dyDescent="0.35">
      <c r="A212" s="22"/>
      <c r="B212" s="118">
        <v>198</v>
      </c>
      <c r="C212" s="189" t="s">
        <v>0</v>
      </c>
      <c r="D212" s="168"/>
      <c r="E212" s="191"/>
      <c r="F212" s="127"/>
      <c r="G212" s="170"/>
      <c r="H212" s="154"/>
      <c r="I212" s="209"/>
      <c r="J212" s="326"/>
      <c r="K212" s="238"/>
      <c r="L212" s="238"/>
      <c r="M212" s="326"/>
      <c r="N212" s="50"/>
      <c r="O212" s="18"/>
      <c r="V212" s="22"/>
      <c r="W212" s="22"/>
    </row>
    <row r="213" spans="1:23" s="97" customFormat="1" ht="40.049999999999997" customHeight="1" thickBot="1" x14ac:dyDescent="0.35">
      <c r="A213" s="22"/>
      <c r="B213" s="118">
        <v>199</v>
      </c>
      <c r="C213" s="195" t="s">
        <v>1</v>
      </c>
      <c r="D213" s="409"/>
      <c r="E213" s="381"/>
      <c r="F213" s="134"/>
      <c r="G213" s="175"/>
      <c r="H213" s="136">
        <f>I213+J213+K213+L213+M213</f>
        <v>0</v>
      </c>
      <c r="I213" s="177">
        <v>0</v>
      </c>
      <c r="J213" s="177">
        <v>0</v>
      </c>
      <c r="K213" s="176">
        <v>0</v>
      </c>
      <c r="L213" s="176">
        <v>0</v>
      </c>
      <c r="M213" s="177">
        <v>0</v>
      </c>
      <c r="N213" s="50"/>
      <c r="O213" s="16"/>
      <c r="V213" s="22"/>
      <c r="W213" s="22"/>
    </row>
    <row r="214" spans="1:23" s="97" customFormat="1" ht="40.049999999999997" customHeight="1" thickBot="1" x14ac:dyDescent="0.35">
      <c r="A214" s="30"/>
      <c r="B214" s="118">
        <v>200</v>
      </c>
      <c r="C214" s="229" t="s">
        <v>2</v>
      </c>
      <c r="D214" s="156"/>
      <c r="E214" s="139"/>
      <c r="F214" s="134"/>
      <c r="G214" s="175"/>
      <c r="H214" s="136">
        <f>I214+J214+K214+L214+M214</f>
        <v>0</v>
      </c>
      <c r="I214" s="177">
        <v>0</v>
      </c>
      <c r="J214" s="177">
        <v>0</v>
      </c>
      <c r="K214" s="176">
        <v>0</v>
      </c>
      <c r="L214" s="176">
        <v>0</v>
      </c>
      <c r="M214" s="177">
        <v>0</v>
      </c>
      <c r="N214" s="50"/>
      <c r="O214" s="16"/>
      <c r="V214" s="22"/>
      <c r="W214" s="22"/>
    </row>
    <row r="215" spans="1:23" s="97" customFormat="1" ht="40.049999999999997" customHeight="1" thickBot="1" x14ac:dyDescent="0.35">
      <c r="A215" s="30"/>
      <c r="B215" s="118">
        <v>201</v>
      </c>
      <c r="C215" s="229" t="s">
        <v>3</v>
      </c>
      <c r="D215" s="408"/>
      <c r="E215" s="335"/>
      <c r="F215" s="161"/>
      <c r="G215" s="181"/>
      <c r="H215" s="162">
        <f>I215+J215+K215+L215+M215</f>
        <v>1300</v>
      </c>
      <c r="I215" s="410">
        <v>1300</v>
      </c>
      <c r="J215" s="205">
        <v>0</v>
      </c>
      <c r="K215" s="184">
        <v>0</v>
      </c>
      <c r="L215" s="184">
        <v>0</v>
      </c>
      <c r="M215" s="205">
        <v>0</v>
      </c>
      <c r="N215" s="50"/>
      <c r="O215" s="16"/>
      <c r="V215" s="22"/>
      <c r="W215" s="22"/>
    </row>
    <row r="216" spans="1:23" s="97" customFormat="1" ht="195" customHeight="1" thickBot="1" x14ac:dyDescent="0.35">
      <c r="A216" s="30"/>
      <c r="B216" s="118">
        <v>202</v>
      </c>
      <c r="C216" s="119" t="s">
        <v>178</v>
      </c>
      <c r="D216" s="224" t="s">
        <v>120</v>
      </c>
      <c r="E216" s="225">
        <v>2024</v>
      </c>
      <c r="F216" s="112">
        <v>2024</v>
      </c>
      <c r="G216" s="164" t="s">
        <v>28</v>
      </c>
      <c r="H216" s="298">
        <f>I216+J216+K216+L216+M216</f>
        <v>1950</v>
      </c>
      <c r="I216" s="188">
        <f>SUM(I218:I220)</f>
        <v>1950</v>
      </c>
      <c r="J216" s="400">
        <f>J218+J219+J220</f>
        <v>0</v>
      </c>
      <c r="K216" s="208">
        <f>SUM(K218:K220)</f>
        <v>0</v>
      </c>
      <c r="L216" s="208">
        <f>SUM(L218:L220)</f>
        <v>0</v>
      </c>
      <c r="M216" s="400">
        <f>M218+M219+M220</f>
        <v>0</v>
      </c>
      <c r="N216" s="50"/>
      <c r="O216" s="16"/>
      <c r="V216" s="22"/>
      <c r="W216" s="22"/>
    </row>
    <row r="217" spans="1:23" s="97" customFormat="1" ht="40.049999999999997" customHeight="1" thickBot="1" x14ac:dyDescent="0.35">
      <c r="A217" s="22"/>
      <c r="B217" s="118">
        <v>203</v>
      </c>
      <c r="C217" s="226" t="s">
        <v>0</v>
      </c>
      <c r="D217" s="153"/>
      <c r="E217" s="127"/>
      <c r="F217" s="228"/>
      <c r="G217" s="128"/>
      <c r="H217" s="216"/>
      <c r="I217" s="301"/>
      <c r="J217" s="326"/>
      <c r="K217" s="238"/>
      <c r="L217" s="238"/>
      <c r="M217" s="326"/>
      <c r="N217" s="50"/>
      <c r="O217" s="16"/>
      <c r="V217" s="22"/>
      <c r="W217" s="22"/>
    </row>
    <row r="218" spans="1:23" s="97" customFormat="1" ht="40.049999999999997" customHeight="1" thickBot="1" x14ac:dyDescent="0.35">
      <c r="A218" s="22"/>
      <c r="B218" s="118">
        <v>204</v>
      </c>
      <c r="C218" s="195" t="s">
        <v>1</v>
      </c>
      <c r="D218" s="409"/>
      <c r="E218" s="315"/>
      <c r="F218" s="175"/>
      <c r="G218" s="139"/>
      <c r="H218" s="291">
        <f>I218+J218+K218+L218+M218</f>
        <v>0</v>
      </c>
      <c r="I218" s="244">
        <v>0</v>
      </c>
      <c r="J218" s="177">
        <v>0</v>
      </c>
      <c r="K218" s="176">
        <v>0</v>
      </c>
      <c r="L218" s="176">
        <v>0</v>
      </c>
      <c r="M218" s="177">
        <v>0</v>
      </c>
      <c r="N218" s="50"/>
      <c r="O218" s="16"/>
      <c r="V218" s="22"/>
      <c r="W218" s="22"/>
    </row>
    <row r="219" spans="1:23" s="97" customFormat="1" ht="40.049999999999997" customHeight="1" thickBot="1" x14ac:dyDescent="0.35">
      <c r="A219" s="22"/>
      <c r="B219" s="118">
        <v>205</v>
      </c>
      <c r="C219" s="195" t="s">
        <v>2</v>
      </c>
      <c r="D219" s="156"/>
      <c r="E219" s="134"/>
      <c r="F219" s="175"/>
      <c r="G219" s="139"/>
      <c r="H219" s="291">
        <f>I219+J219+K219+M219</f>
        <v>0</v>
      </c>
      <c r="I219" s="244">
        <v>0</v>
      </c>
      <c r="J219" s="177">
        <v>0</v>
      </c>
      <c r="K219" s="176">
        <v>0</v>
      </c>
      <c r="L219" s="176">
        <v>0</v>
      </c>
      <c r="M219" s="177">
        <v>0</v>
      </c>
      <c r="N219" s="50"/>
      <c r="O219" s="16"/>
      <c r="V219" s="22"/>
      <c r="W219" s="22"/>
    </row>
    <row r="220" spans="1:23" s="97" customFormat="1" ht="40.049999999999997" customHeight="1" thickBot="1" x14ac:dyDescent="0.35">
      <c r="A220" s="30"/>
      <c r="B220" s="118">
        <v>206</v>
      </c>
      <c r="C220" s="229" t="s">
        <v>3</v>
      </c>
      <c r="D220" s="409"/>
      <c r="E220" s="315"/>
      <c r="F220" s="181"/>
      <c r="G220" s="335"/>
      <c r="H220" s="347">
        <f>I220+J220+K220+L220+M220</f>
        <v>1950</v>
      </c>
      <c r="I220" s="336">
        <v>1950</v>
      </c>
      <c r="J220" s="185">
        <v>0</v>
      </c>
      <c r="K220" s="184">
        <v>0</v>
      </c>
      <c r="L220" s="184">
        <v>0</v>
      </c>
      <c r="M220" s="185">
        <v>0</v>
      </c>
      <c r="N220" s="570" t="s">
        <v>114</v>
      </c>
      <c r="O220" s="570"/>
      <c r="V220" s="22"/>
      <c r="W220" s="22"/>
    </row>
    <row r="221" spans="1:23" s="97" customFormat="1" ht="159" customHeight="1" thickBot="1" x14ac:dyDescent="0.35">
      <c r="A221" s="30"/>
      <c r="B221" s="118">
        <v>207</v>
      </c>
      <c r="C221" s="141" t="s">
        <v>179</v>
      </c>
      <c r="D221" s="224" t="s">
        <v>120</v>
      </c>
      <c r="E221" s="225">
        <v>2024</v>
      </c>
      <c r="F221" s="112">
        <v>2024</v>
      </c>
      <c r="G221" s="164" t="s">
        <v>28</v>
      </c>
      <c r="H221" s="214">
        <f>I221+J221+K221+L221+M221</f>
        <v>1950</v>
      </c>
      <c r="I221" s="188">
        <f>SUM(I223:I225)</f>
        <v>1950</v>
      </c>
      <c r="J221" s="167">
        <f>J223+J224+J225</f>
        <v>0</v>
      </c>
      <c r="K221" s="208">
        <f>SUM(K223:K225)</f>
        <v>0</v>
      </c>
      <c r="L221" s="208">
        <f>SUM(L223:L225)</f>
        <v>0</v>
      </c>
      <c r="M221" s="167">
        <f>M223+M224+M225</f>
        <v>0</v>
      </c>
      <c r="N221" s="99"/>
      <c r="O221" s="99"/>
      <c r="V221" s="22"/>
      <c r="W221" s="22"/>
    </row>
    <row r="222" spans="1:23" s="97" customFormat="1" ht="40.049999999999997" customHeight="1" thickBot="1" x14ac:dyDescent="0.35">
      <c r="A222" s="30"/>
      <c r="B222" s="118">
        <v>208</v>
      </c>
      <c r="C222" s="125" t="s">
        <v>0</v>
      </c>
      <c r="D222" s="227"/>
      <c r="E222" s="127"/>
      <c r="F222" s="228"/>
      <c r="G222" s="127"/>
      <c r="H222" s="216"/>
      <c r="I222" s="301"/>
      <c r="J222" s="326"/>
      <c r="K222" s="238"/>
      <c r="L222" s="238"/>
      <c r="M222" s="326"/>
      <c r="N222" s="99"/>
      <c r="O222" s="99"/>
      <c r="V222" s="22"/>
      <c r="W222" s="22"/>
    </row>
    <row r="223" spans="1:23" s="97" customFormat="1" ht="40.049999999999997" customHeight="1" thickBot="1" x14ac:dyDescent="0.35">
      <c r="A223" s="30"/>
      <c r="B223" s="118">
        <v>209</v>
      </c>
      <c r="C223" s="132" t="s">
        <v>1</v>
      </c>
      <c r="D223" s="196"/>
      <c r="E223" s="134"/>
      <c r="F223" s="175"/>
      <c r="G223" s="134"/>
      <c r="H223" s="291">
        <f>I223+J223+K223+L223+M223</f>
        <v>0</v>
      </c>
      <c r="I223" s="244">
        <v>0</v>
      </c>
      <c r="J223" s="177">
        <v>0</v>
      </c>
      <c r="K223" s="176">
        <v>0</v>
      </c>
      <c r="L223" s="176">
        <v>0</v>
      </c>
      <c r="M223" s="177">
        <v>0</v>
      </c>
      <c r="N223" s="99"/>
      <c r="O223" s="99"/>
      <c r="V223" s="22"/>
      <c r="W223" s="22"/>
    </row>
    <row r="224" spans="1:23" s="97" customFormat="1" ht="40.049999999999997" customHeight="1" thickBot="1" x14ac:dyDescent="0.35">
      <c r="A224" s="30"/>
      <c r="B224" s="118">
        <v>210</v>
      </c>
      <c r="C224" s="132" t="s">
        <v>2</v>
      </c>
      <c r="D224" s="196"/>
      <c r="E224" s="134"/>
      <c r="F224" s="175"/>
      <c r="G224" s="134"/>
      <c r="H224" s="291">
        <f>I224+J224+K224+M224</f>
        <v>0</v>
      </c>
      <c r="I224" s="244">
        <v>0</v>
      </c>
      <c r="J224" s="177">
        <v>0</v>
      </c>
      <c r="K224" s="176">
        <v>0</v>
      </c>
      <c r="L224" s="176">
        <v>0</v>
      </c>
      <c r="M224" s="177">
        <v>0</v>
      </c>
      <c r="N224" s="99"/>
      <c r="O224" s="99"/>
      <c r="V224" s="22"/>
      <c r="W224" s="22"/>
    </row>
    <row r="225" spans="1:23" s="97" customFormat="1" ht="40.049999999999997" customHeight="1" thickBot="1" x14ac:dyDescent="0.35">
      <c r="A225" s="30"/>
      <c r="B225" s="118">
        <v>211</v>
      </c>
      <c r="C225" s="159" t="s">
        <v>3</v>
      </c>
      <c r="D225" s="200"/>
      <c r="E225" s="161"/>
      <c r="F225" s="202"/>
      <c r="G225" s="161"/>
      <c r="H225" s="294">
        <f>I225+J225+K225+L225+M225</f>
        <v>1950</v>
      </c>
      <c r="I225" s="203">
        <v>1950</v>
      </c>
      <c r="J225" s="205">
        <v>0</v>
      </c>
      <c r="K225" s="212">
        <v>0</v>
      </c>
      <c r="L225" s="212">
        <v>0</v>
      </c>
      <c r="M225" s="205">
        <v>0</v>
      </c>
      <c r="N225" s="99"/>
      <c r="O225" s="99"/>
      <c r="V225" s="22"/>
      <c r="W225" s="22"/>
    </row>
    <row r="226" spans="1:23" s="97" customFormat="1" ht="77.400000000000006" customHeight="1" thickBot="1" x14ac:dyDescent="0.35">
      <c r="A226" s="22"/>
      <c r="B226" s="118">
        <v>212</v>
      </c>
      <c r="C226" s="391" t="s">
        <v>159</v>
      </c>
      <c r="D226" s="258"/>
      <c r="E226" s="259"/>
      <c r="F226" s="260"/>
      <c r="G226" s="259" t="s">
        <v>39</v>
      </c>
      <c r="H226" s="415">
        <f>I226+J226+K226+L226+M226</f>
        <v>5324101.8133420367</v>
      </c>
      <c r="I226" s="416">
        <f>SUM(I228:I230)</f>
        <v>583837.69585999998</v>
      </c>
      <c r="J226" s="417">
        <f>SUM(J228:J230)</f>
        <v>739338.34524346923</v>
      </c>
      <c r="K226" s="416">
        <f>SUM(K228:K230)</f>
        <v>1617266.4422385679</v>
      </c>
      <c r="L226" s="417">
        <f>SUM(L228:L230)</f>
        <v>795530</v>
      </c>
      <c r="M226" s="284">
        <f>SUM(M228:M230)</f>
        <v>1588129.33</v>
      </c>
      <c r="N226" s="10"/>
      <c r="O226" s="16"/>
      <c r="P226" s="23" t="e">
        <f>SUM(P228:P230)</f>
        <v>#REF!</v>
      </c>
      <c r="V226" s="22"/>
      <c r="W226" s="22"/>
    </row>
    <row r="227" spans="1:23" s="97" customFormat="1" ht="40.049999999999997" customHeight="1" thickBot="1" x14ac:dyDescent="0.35">
      <c r="A227" s="22"/>
      <c r="B227" s="118">
        <v>213</v>
      </c>
      <c r="C227" s="226" t="s">
        <v>0</v>
      </c>
      <c r="D227" s="227"/>
      <c r="E227" s="127"/>
      <c r="F227" s="127"/>
      <c r="G227" s="228"/>
      <c r="H227" s="401"/>
      <c r="I227" s="418"/>
      <c r="J227" s="418"/>
      <c r="K227" s="418"/>
      <c r="L227" s="418"/>
      <c r="M227" s="288"/>
      <c r="N227" s="50"/>
      <c r="O227" s="16"/>
      <c r="V227" s="22"/>
      <c r="W227" s="22"/>
    </row>
    <row r="228" spans="1:23" s="97" customFormat="1" ht="40.049999999999997" customHeight="1" thickBot="1" x14ac:dyDescent="0.35">
      <c r="A228" s="22"/>
      <c r="B228" s="118">
        <v>214</v>
      </c>
      <c r="C228" s="195" t="s">
        <v>1</v>
      </c>
      <c r="D228" s="196"/>
      <c r="E228" s="134"/>
      <c r="F228" s="134"/>
      <c r="G228" s="175"/>
      <c r="H228" s="275">
        <f>I228+J228+K228+L228+M228</f>
        <v>4255834.806356173</v>
      </c>
      <c r="I228" s="419">
        <f t="shared" ref="I228:M230" si="5">I233+I238+I243+I248+I253+I258+I263+I268+I273+I278+I283+I288+I293+I298+I303+I308+I313+I318+I323+I328+I333+I338+I343+I348+I353+I358+I363+I368+I373+I378+I384+I389</f>
        <v>340249.19999999995</v>
      </c>
      <c r="J228" s="419">
        <f t="shared" si="5"/>
        <v>434407.90634003398</v>
      </c>
      <c r="K228" s="419">
        <f t="shared" si="5"/>
        <v>1348023.400016139</v>
      </c>
      <c r="L228" s="419">
        <f t="shared" si="5"/>
        <v>713250</v>
      </c>
      <c r="M228" s="420">
        <f t="shared" si="5"/>
        <v>1419904.3</v>
      </c>
      <c r="N228" s="50"/>
      <c r="O228" s="16"/>
      <c r="P228" s="23" t="e">
        <f>#REF!+#REF!+#REF!+#REF!+#REF!+#REF!+#REF!+#REF!+#REF!+#REF!+#REF!+#REF!+#REF!+#REF!+#REF!+#REF!+#REF!+#REF!+#REF!+#REF!+#REF!+#REF!+#REF!+#REF!+#REF!</f>
        <v>#REF!</v>
      </c>
      <c r="V228" s="22"/>
      <c r="W228" s="22"/>
    </row>
    <row r="229" spans="1:23" s="97" customFormat="1" ht="40.049999999999997" customHeight="1" thickBot="1" x14ac:dyDescent="0.35">
      <c r="A229" s="22"/>
      <c r="B229" s="118">
        <v>215</v>
      </c>
      <c r="C229" s="195" t="s">
        <v>2</v>
      </c>
      <c r="D229" s="196"/>
      <c r="E229" s="134"/>
      <c r="F229" s="134"/>
      <c r="G229" s="175"/>
      <c r="H229" s="275">
        <f>I229+J229+K229+L229+M229</f>
        <v>803791.28780586412</v>
      </c>
      <c r="I229" s="419">
        <f t="shared" si="5"/>
        <v>138754.48616</v>
      </c>
      <c r="J229" s="419">
        <f t="shared" si="5"/>
        <v>263593.52092343528</v>
      </c>
      <c r="K229" s="419">
        <f t="shared" si="5"/>
        <v>188379.72072242881</v>
      </c>
      <c r="L229" s="419">
        <f t="shared" si="5"/>
        <v>71325</v>
      </c>
      <c r="M229" s="420">
        <f t="shared" si="5"/>
        <v>141738.56</v>
      </c>
      <c r="N229" s="50"/>
      <c r="O229" s="16"/>
      <c r="P229" s="23" t="e">
        <f>#REF!+#REF!+#REF!+#REF!+#REF!+#REF!+#REF!+#REF!+#REF!+#REF!+#REF!+#REF!+#REF!+#REF!+#REF!+#REF!+#REF!+#REF!+#REF!+#REF!+#REF!+#REF!+#REF!+#REF!+#REF!</f>
        <v>#REF!</v>
      </c>
      <c r="V229" s="22"/>
      <c r="W229" s="22"/>
    </row>
    <row r="230" spans="1:23" s="97" customFormat="1" ht="40.049999999999997" customHeight="1" thickBot="1" x14ac:dyDescent="0.35">
      <c r="A230" s="22"/>
      <c r="B230" s="118">
        <v>216</v>
      </c>
      <c r="C230" s="199" t="s">
        <v>3</v>
      </c>
      <c r="D230" s="200"/>
      <c r="E230" s="180"/>
      <c r="F230" s="180"/>
      <c r="G230" s="181"/>
      <c r="H230" s="278">
        <f>I230+J230+K230+L230+M230</f>
        <v>264475.71918000001</v>
      </c>
      <c r="I230" s="421">
        <f t="shared" si="5"/>
        <v>104834.00970000001</v>
      </c>
      <c r="J230" s="421">
        <f t="shared" si="5"/>
        <v>41336.917979999998</v>
      </c>
      <c r="K230" s="421">
        <f t="shared" si="5"/>
        <v>80863.321500000005</v>
      </c>
      <c r="L230" s="421">
        <f t="shared" si="5"/>
        <v>10955</v>
      </c>
      <c r="M230" s="422">
        <f t="shared" si="5"/>
        <v>26486.47</v>
      </c>
      <c r="N230" s="68">
        <v>27670.09231</v>
      </c>
      <c r="O230" s="58">
        <v>50000</v>
      </c>
      <c r="P230" s="23" t="e">
        <f>#REF!+#REF!+#REF!+#REF!+#REF!+#REF!+#REF!+#REF!+#REF!+#REF!+#REF!+#REF!+#REF!+#REF!+#REF!+#REF!+#REF!+#REF!+#REF!+#REF!+#REF!+#REF!+#REF!+#REF!+#REF!</f>
        <v>#REF!</v>
      </c>
      <c r="V230" s="22"/>
      <c r="W230" s="22"/>
    </row>
    <row r="231" spans="1:23" s="97" customFormat="1" ht="100.8" customHeight="1" thickBot="1" x14ac:dyDescent="0.35">
      <c r="A231" s="22"/>
      <c r="B231" s="118">
        <v>217</v>
      </c>
      <c r="C231" s="119" t="s">
        <v>149</v>
      </c>
      <c r="D231" s="163" t="s">
        <v>120</v>
      </c>
      <c r="E231" s="112">
        <v>2022</v>
      </c>
      <c r="F231" s="225">
        <v>2024</v>
      </c>
      <c r="G231" s="112" t="s">
        <v>96</v>
      </c>
      <c r="H231" s="214">
        <f>I231+J231+K231+L231+M231</f>
        <v>81182.926775</v>
      </c>
      <c r="I231" s="423">
        <f>62365.85355*0.5+50000</f>
        <v>81182.926775</v>
      </c>
      <c r="J231" s="331">
        <f>J233+J234+J235</f>
        <v>0</v>
      </c>
      <c r="K231" s="188">
        <f>SUM(K233:K235)</f>
        <v>0</v>
      </c>
      <c r="L231" s="188">
        <f>SUM(L233:L235)</f>
        <v>0</v>
      </c>
      <c r="M231" s="331">
        <f>M233+M234+M235</f>
        <v>0</v>
      </c>
      <c r="N231" s="62">
        <f>31182.9268+50000</f>
        <v>81182.926800000001</v>
      </c>
      <c r="O231" s="66">
        <v>31182.926800000001</v>
      </c>
      <c r="P231" s="23"/>
      <c r="V231" s="22"/>
      <c r="W231" s="22"/>
    </row>
    <row r="232" spans="1:23" s="97" customFormat="1" ht="40.049999999999997" customHeight="1" thickBot="1" x14ac:dyDescent="0.35">
      <c r="A232" s="22"/>
      <c r="B232" s="118">
        <v>218</v>
      </c>
      <c r="C232" s="189" t="s">
        <v>0</v>
      </c>
      <c r="D232" s="168"/>
      <c r="E232" s="169"/>
      <c r="F232" s="191"/>
      <c r="G232" s="169"/>
      <c r="H232" s="424"/>
      <c r="I232" s="425"/>
      <c r="J232" s="301"/>
      <c r="K232" s="288"/>
      <c r="L232" s="288"/>
      <c r="M232" s="241"/>
      <c r="N232" s="63"/>
      <c r="O232" s="67"/>
      <c r="P232" s="23"/>
      <c r="V232" s="22"/>
      <c r="W232" s="22"/>
    </row>
    <row r="233" spans="1:23" s="97" customFormat="1" ht="40.049999999999997" customHeight="1" thickBot="1" x14ac:dyDescent="0.35">
      <c r="A233" s="22"/>
      <c r="B233" s="118">
        <v>219</v>
      </c>
      <c r="C233" s="195" t="s">
        <v>1</v>
      </c>
      <c r="D233" s="156"/>
      <c r="E233" s="134"/>
      <c r="F233" s="139"/>
      <c r="G233" s="134"/>
      <c r="H233" s="291">
        <f>I233+J233+K233+L233+M233</f>
        <v>0</v>
      </c>
      <c r="I233" s="426">
        <v>0</v>
      </c>
      <c r="J233" s="197">
        <v>0</v>
      </c>
      <c r="K233" s="197">
        <v>0</v>
      </c>
      <c r="L233" s="197">
        <v>0</v>
      </c>
      <c r="M233" s="244">
        <v>0</v>
      </c>
      <c r="N233" s="63"/>
      <c r="O233" s="67"/>
      <c r="P233" s="23"/>
      <c r="V233" s="22"/>
      <c r="W233" s="22"/>
    </row>
    <row r="234" spans="1:23" s="97" customFormat="1" ht="40.049999999999997" customHeight="1" thickBot="1" x14ac:dyDescent="0.35">
      <c r="A234" s="22"/>
      <c r="B234" s="118">
        <v>220</v>
      </c>
      <c r="C234" s="195" t="s">
        <v>2</v>
      </c>
      <c r="D234" s="156"/>
      <c r="E234" s="134"/>
      <c r="F234" s="139"/>
      <c r="G234" s="134"/>
      <c r="H234" s="291">
        <f>I234+J234+K234+L234+M234</f>
        <v>27670.09231</v>
      </c>
      <c r="I234" s="426">
        <v>27670.09231</v>
      </c>
      <c r="J234" s="197">
        <v>0</v>
      </c>
      <c r="K234" s="197">
        <v>0</v>
      </c>
      <c r="L234" s="197">
        <v>0</v>
      </c>
      <c r="M234" s="244">
        <v>0</v>
      </c>
      <c r="N234" s="63">
        <f>N231/100*99</f>
        <v>80371.097532</v>
      </c>
      <c r="O234" s="67">
        <f>O231/100*99</f>
        <v>30871.097532</v>
      </c>
      <c r="P234" s="23"/>
      <c r="V234" s="22"/>
      <c r="W234" s="22"/>
    </row>
    <row r="235" spans="1:23" s="97" customFormat="1" ht="40.049999999999997" customHeight="1" thickBot="1" x14ac:dyDescent="0.35">
      <c r="A235" s="22"/>
      <c r="B235" s="118">
        <v>221</v>
      </c>
      <c r="C235" s="199" t="s">
        <v>3</v>
      </c>
      <c r="D235" s="160"/>
      <c r="E235" s="161"/>
      <c r="F235" s="201"/>
      <c r="G235" s="161"/>
      <c r="H235" s="294">
        <f>I235+J235+K235+L235+M235</f>
        <v>50000</v>
      </c>
      <c r="I235" s="427">
        <v>50000</v>
      </c>
      <c r="J235" s="203">
        <v>0</v>
      </c>
      <c r="K235" s="336">
        <v>0</v>
      </c>
      <c r="L235" s="336">
        <v>0</v>
      </c>
      <c r="M235" s="303">
        <v>0</v>
      </c>
      <c r="N235" s="63">
        <f>N231/100*1+50000</f>
        <v>50811.829268000001</v>
      </c>
      <c r="O235" s="67">
        <f>O231/100*1</f>
        <v>311.82926800000001</v>
      </c>
      <c r="P235" s="23">
        <f>O235+50000</f>
        <v>50311.829268000001</v>
      </c>
      <c r="V235" s="22"/>
      <c r="W235" s="22"/>
    </row>
    <row r="236" spans="1:23" s="97" customFormat="1" ht="111.6" customHeight="1" thickBot="1" x14ac:dyDescent="0.35">
      <c r="A236" s="22"/>
      <c r="B236" s="118">
        <v>222</v>
      </c>
      <c r="C236" s="428" t="s">
        <v>150</v>
      </c>
      <c r="D236" s="258" t="s">
        <v>118</v>
      </c>
      <c r="E236" s="149">
        <v>2024</v>
      </c>
      <c r="F236" s="259">
        <v>2024</v>
      </c>
      <c r="G236" s="259" t="s">
        <v>28</v>
      </c>
      <c r="H236" s="429">
        <f>I236+J236+K236+L236+M236</f>
        <v>10805.86</v>
      </c>
      <c r="I236" s="188">
        <f>SUM(I238:I240)</f>
        <v>10805.86</v>
      </c>
      <c r="J236" s="430">
        <f>J238+J239+J240</f>
        <v>0</v>
      </c>
      <c r="K236" s="188">
        <f>K238+K239+K240</f>
        <v>0</v>
      </c>
      <c r="L236" s="331">
        <f>L238+L239+L240</f>
        <v>0</v>
      </c>
      <c r="M236" s="430">
        <f>M238+M239+M240</f>
        <v>0</v>
      </c>
      <c r="N236" s="10">
        <f>2244+50000+37518+12600+1196+1060+14020+721</f>
        <v>119359</v>
      </c>
      <c r="V236" s="22"/>
      <c r="W236" s="22"/>
    </row>
    <row r="237" spans="1:23" s="54" customFormat="1" ht="40.049999999999997" customHeight="1" thickBot="1" x14ac:dyDescent="0.35">
      <c r="A237" s="59"/>
      <c r="B237" s="118">
        <v>223</v>
      </c>
      <c r="C237" s="431" t="s">
        <v>0</v>
      </c>
      <c r="D237" s="432"/>
      <c r="E237" s="433"/>
      <c r="F237" s="434"/>
      <c r="G237" s="435"/>
      <c r="H237" s="216"/>
      <c r="I237" s="286"/>
      <c r="J237" s="301"/>
      <c r="K237" s="289"/>
      <c r="L237" s="289"/>
      <c r="M237" s="289"/>
      <c r="N237" s="68"/>
      <c r="V237" s="59"/>
      <c r="W237" s="59"/>
    </row>
    <row r="238" spans="1:23" s="54" customFormat="1" ht="40.049999999999997" customHeight="1" thickBot="1" x14ac:dyDescent="0.35">
      <c r="A238" s="59"/>
      <c r="B238" s="118">
        <v>224</v>
      </c>
      <c r="C238" s="436" t="s">
        <v>1</v>
      </c>
      <c r="D238" s="437"/>
      <c r="E238" s="438"/>
      <c r="F238" s="439"/>
      <c r="G238" s="440"/>
      <c r="H238" s="291">
        <f>I238+J238+K238+L238+M238</f>
        <v>0</v>
      </c>
      <c r="I238" s="197">
        <v>0</v>
      </c>
      <c r="J238" s="197">
        <v>0</v>
      </c>
      <c r="K238" s="244">
        <v>0</v>
      </c>
      <c r="L238" s="244">
        <v>0</v>
      </c>
      <c r="M238" s="244">
        <v>0</v>
      </c>
      <c r="N238" s="68"/>
      <c r="Q238" s="54" t="e">
        <f>#REF!/100</f>
        <v>#REF!</v>
      </c>
      <c r="R238" s="54" t="e">
        <f>Q238-#REF!</f>
        <v>#REF!</v>
      </c>
      <c r="V238" s="59"/>
      <c r="W238" s="59"/>
    </row>
    <row r="239" spans="1:23" s="54" customFormat="1" ht="40.049999999999997" customHeight="1" thickBot="1" x14ac:dyDescent="0.35">
      <c r="A239" s="59"/>
      <c r="B239" s="118">
        <v>225</v>
      </c>
      <c r="C239" s="436" t="s">
        <v>2</v>
      </c>
      <c r="D239" s="437"/>
      <c r="E239" s="438"/>
      <c r="F239" s="439"/>
      <c r="G239" s="440"/>
      <c r="H239" s="291">
        <f>I239+J239+K239+L239+M239</f>
        <v>0</v>
      </c>
      <c r="I239" s="197">
        <v>0</v>
      </c>
      <c r="J239" s="197">
        <v>0</v>
      </c>
      <c r="K239" s="244">
        <v>0</v>
      </c>
      <c r="L239" s="244">
        <v>0</v>
      </c>
      <c r="M239" s="244">
        <v>0</v>
      </c>
      <c r="N239" s="68"/>
      <c r="V239" s="59"/>
      <c r="W239" s="59"/>
    </row>
    <row r="240" spans="1:23" s="54" customFormat="1" ht="40.049999999999997" customHeight="1" thickBot="1" x14ac:dyDescent="0.35">
      <c r="A240" s="59"/>
      <c r="B240" s="118">
        <v>226</v>
      </c>
      <c r="C240" s="441" t="s">
        <v>3</v>
      </c>
      <c r="D240" s="442"/>
      <c r="E240" s="443"/>
      <c r="F240" s="444"/>
      <c r="G240" s="445"/>
      <c r="H240" s="294">
        <f>I240+J240+K240+L240+M240</f>
        <v>10805.86</v>
      </c>
      <c r="I240" s="304">
        <v>10805.86</v>
      </c>
      <c r="J240" s="203">
        <v>0</v>
      </c>
      <c r="K240" s="303">
        <v>0</v>
      </c>
      <c r="L240" s="303">
        <v>0</v>
      </c>
      <c r="M240" s="303">
        <v>0</v>
      </c>
      <c r="N240" s="68"/>
      <c r="O240" s="54" t="e">
        <f>#REF!/100</f>
        <v>#REF!</v>
      </c>
      <c r="P240" s="54" t="e">
        <f>#REF!/100</f>
        <v>#REF!</v>
      </c>
      <c r="Q240" s="54" t="e">
        <f>#REF!+#REF!</f>
        <v>#REF!</v>
      </c>
      <c r="R240" s="54" t="e">
        <f>Q240/100</f>
        <v>#REF!</v>
      </c>
      <c r="V240" s="59"/>
      <c r="W240" s="59"/>
    </row>
    <row r="241" spans="1:23" s="97" customFormat="1" ht="88.8" customHeight="1" thickBot="1" x14ac:dyDescent="0.35">
      <c r="A241" s="22"/>
      <c r="B241" s="118">
        <v>227</v>
      </c>
      <c r="C241" s="119" t="s">
        <v>100</v>
      </c>
      <c r="D241" s="224" t="s">
        <v>120</v>
      </c>
      <c r="E241" s="225">
        <v>2024</v>
      </c>
      <c r="F241" s="112">
        <v>2025</v>
      </c>
      <c r="G241" s="164" t="s">
        <v>40</v>
      </c>
      <c r="H241" s="446">
        <f>I241+J241+K241+L241+M241</f>
        <v>1200000</v>
      </c>
      <c r="I241" s="232">
        <f>SUM(I243:I245)</f>
        <v>0</v>
      </c>
      <c r="J241" s="208">
        <f>SUM(J243:J245)</f>
        <v>0</v>
      </c>
      <c r="K241" s="167">
        <f>K243+K244+K245</f>
        <v>0</v>
      </c>
      <c r="L241" s="152">
        <v>300000</v>
      </c>
      <c r="M241" s="208">
        <v>900000</v>
      </c>
      <c r="N241" s="10"/>
      <c r="O241" s="10">
        <v>300000</v>
      </c>
      <c r="P241" s="31">
        <f>SUM(P243:P245)</f>
        <v>481000</v>
      </c>
      <c r="Q241" s="2">
        <v>781000</v>
      </c>
      <c r="R241" s="23"/>
      <c r="S241" s="2">
        <v>532772.9</v>
      </c>
      <c r="V241" s="22"/>
      <c r="W241" s="22"/>
    </row>
    <row r="242" spans="1:23" s="97" customFormat="1" ht="40.049999999999997" customHeight="1" thickBot="1" x14ac:dyDescent="0.35">
      <c r="A242" s="22"/>
      <c r="B242" s="118">
        <v>228</v>
      </c>
      <c r="C242" s="226" t="s">
        <v>0</v>
      </c>
      <c r="D242" s="227"/>
      <c r="E242" s="128"/>
      <c r="F242" s="127"/>
      <c r="G242" s="128"/>
      <c r="H242" s="154"/>
      <c r="I242" s="265"/>
      <c r="J242" s="211"/>
      <c r="K242" s="326"/>
      <c r="L242" s="210"/>
      <c r="M242" s="360"/>
      <c r="N242" s="50"/>
      <c r="O242" s="16"/>
      <c r="V242" s="22"/>
      <c r="W242" s="22"/>
    </row>
    <row r="243" spans="1:23" s="97" customFormat="1" ht="40.049999999999997" customHeight="1" thickBot="1" x14ac:dyDescent="0.35">
      <c r="A243" s="22"/>
      <c r="B243" s="118">
        <v>229</v>
      </c>
      <c r="C243" s="195" t="s">
        <v>1</v>
      </c>
      <c r="D243" s="196"/>
      <c r="E243" s="139"/>
      <c r="F243" s="134"/>
      <c r="G243" s="139"/>
      <c r="H243" s="157">
        <f>I243+J243+K243+L243+M243</f>
        <v>1080000</v>
      </c>
      <c r="I243" s="267">
        <v>0</v>
      </c>
      <c r="J243" s="176">
        <v>0</v>
      </c>
      <c r="K243" s="177">
        <v>0</v>
      </c>
      <c r="L243" s="447">
        <f>L241*90%</f>
        <v>270000</v>
      </c>
      <c r="M243" s="447">
        <f>M241*90%</f>
        <v>810000</v>
      </c>
      <c r="N243" s="44"/>
      <c r="O243" s="9">
        <f>O241-O244-O245</f>
        <v>294030</v>
      </c>
      <c r="P243" s="3">
        <f>Q243-O243</f>
        <v>471428.1</v>
      </c>
      <c r="Q243" s="3">
        <f>Q241-Q244-Q245</f>
        <v>765458.1</v>
      </c>
      <c r="R243" s="5"/>
      <c r="V243" s="22"/>
      <c r="W243" s="22"/>
    </row>
    <row r="244" spans="1:23" s="97" customFormat="1" ht="40.049999999999997" customHeight="1" thickBot="1" x14ac:dyDescent="0.35">
      <c r="A244" s="22"/>
      <c r="B244" s="118">
        <v>230</v>
      </c>
      <c r="C244" s="195" t="s">
        <v>2</v>
      </c>
      <c r="D244" s="196"/>
      <c r="E244" s="139"/>
      <c r="F244" s="134"/>
      <c r="G244" s="139"/>
      <c r="H244" s="157">
        <f>I244+J244+K244+L244+M244</f>
        <v>108000</v>
      </c>
      <c r="I244" s="267">
        <v>0</v>
      </c>
      <c r="J244" s="176">
        <v>0</v>
      </c>
      <c r="K244" s="177">
        <v>0</v>
      </c>
      <c r="L244" s="447">
        <f>L241*9%</f>
        <v>27000</v>
      </c>
      <c r="M244" s="447">
        <f>M241*9%</f>
        <v>81000</v>
      </c>
      <c r="N244" s="44"/>
      <c r="O244" s="9">
        <f>(O241-O245)/100</f>
        <v>2970</v>
      </c>
      <c r="P244" s="3">
        <f>Q244-O244</f>
        <v>4761.8999999999996</v>
      </c>
      <c r="Q244" s="3">
        <f>(Q241-Q245)/100</f>
        <v>7731.9</v>
      </c>
      <c r="R244" s="5"/>
      <c r="V244" s="22"/>
      <c r="W244" s="22"/>
    </row>
    <row r="245" spans="1:23" s="97" customFormat="1" ht="40.049999999999997" customHeight="1" thickBot="1" x14ac:dyDescent="0.35">
      <c r="A245" s="22"/>
      <c r="B245" s="118">
        <v>231</v>
      </c>
      <c r="C245" s="199" t="s">
        <v>3</v>
      </c>
      <c r="D245" s="200"/>
      <c r="E245" s="201"/>
      <c r="F245" s="161"/>
      <c r="G245" s="201"/>
      <c r="H245" s="162">
        <f>I245+J245+K245+L245+M245</f>
        <v>12000</v>
      </c>
      <c r="I245" s="270">
        <v>0</v>
      </c>
      <c r="J245" s="212">
        <v>0</v>
      </c>
      <c r="K245" s="205">
        <v>0</v>
      </c>
      <c r="L245" s="447">
        <f>L241/100</f>
        <v>3000</v>
      </c>
      <c r="M245" s="447">
        <f>M241/100</f>
        <v>9000</v>
      </c>
      <c r="N245" s="44"/>
      <c r="O245" s="9">
        <f>O241/100</f>
        <v>3000</v>
      </c>
      <c r="P245" s="3">
        <f>Q245-O245</f>
        <v>4810</v>
      </c>
      <c r="Q245" s="3">
        <f>Q241/100</f>
        <v>7810</v>
      </c>
      <c r="R245" s="5"/>
      <c r="V245" s="22"/>
      <c r="W245" s="22"/>
    </row>
    <row r="246" spans="1:23" s="97" customFormat="1" ht="94.8" customHeight="1" thickBot="1" x14ac:dyDescent="0.35">
      <c r="A246" s="22"/>
      <c r="B246" s="118">
        <v>232</v>
      </c>
      <c r="C246" s="448" t="s">
        <v>151</v>
      </c>
      <c r="D246" s="224" t="s">
        <v>120</v>
      </c>
      <c r="E246" s="225">
        <v>2024</v>
      </c>
      <c r="F246" s="112">
        <v>2024</v>
      </c>
      <c r="G246" s="449" t="s">
        <v>28</v>
      </c>
      <c r="H246" s="344">
        <f>I246+J246+K246+L246+M246</f>
        <v>5020.75</v>
      </c>
      <c r="I246" s="450">
        <f>I250</f>
        <v>5020.75</v>
      </c>
      <c r="J246" s="208">
        <f>SUM(J248:J250)</f>
        <v>0</v>
      </c>
      <c r="K246" s="167">
        <f>K248+K249+K250</f>
        <v>0</v>
      </c>
      <c r="L246" s="167">
        <f>L248+L249+L250</f>
        <v>0</v>
      </c>
      <c r="M246" s="208">
        <f>SUM(M248:M250)</f>
        <v>0</v>
      </c>
      <c r="N246" s="10">
        <f>M243+M244+M245</f>
        <v>900000</v>
      </c>
      <c r="V246" s="22"/>
      <c r="W246" s="22"/>
    </row>
    <row r="247" spans="1:23" s="97" customFormat="1" ht="40.049999999999997" customHeight="1" thickBot="1" x14ac:dyDescent="0.35">
      <c r="A247" s="22"/>
      <c r="B247" s="118">
        <v>233</v>
      </c>
      <c r="C247" s="451" t="s">
        <v>0</v>
      </c>
      <c r="D247" s="227"/>
      <c r="E247" s="128"/>
      <c r="F247" s="127"/>
      <c r="G247" s="228"/>
      <c r="H247" s="154"/>
      <c r="I247" s="346"/>
      <c r="J247" s="211"/>
      <c r="K247" s="326"/>
      <c r="L247" s="326"/>
      <c r="M247" s="211"/>
      <c r="N247" s="50"/>
      <c r="V247" s="22"/>
      <c r="W247" s="22"/>
    </row>
    <row r="248" spans="1:23" s="97" customFormat="1" ht="40.049999999999997" customHeight="1" thickBot="1" x14ac:dyDescent="0.35">
      <c r="A248" s="22"/>
      <c r="B248" s="118">
        <v>234</v>
      </c>
      <c r="C248" s="452" t="s">
        <v>1</v>
      </c>
      <c r="D248" s="196"/>
      <c r="E248" s="139"/>
      <c r="F248" s="134"/>
      <c r="G248" s="175"/>
      <c r="H248" s="136">
        <f>I248+J248+K248+L248+M248</f>
        <v>0</v>
      </c>
      <c r="I248" s="176">
        <v>0</v>
      </c>
      <c r="J248" s="176">
        <v>0</v>
      </c>
      <c r="K248" s="177">
        <v>0</v>
      </c>
      <c r="L248" s="177">
        <v>0</v>
      </c>
      <c r="M248" s="176">
        <v>0</v>
      </c>
      <c r="N248" s="50"/>
      <c r="V248" s="22"/>
      <c r="W248" s="22"/>
    </row>
    <row r="249" spans="1:23" s="97" customFormat="1" ht="40.049999999999997" customHeight="1" thickBot="1" x14ac:dyDescent="0.35">
      <c r="A249" s="22"/>
      <c r="B249" s="118">
        <v>235</v>
      </c>
      <c r="C249" s="452" t="s">
        <v>2</v>
      </c>
      <c r="D249" s="196"/>
      <c r="E249" s="139"/>
      <c r="F249" s="134"/>
      <c r="G249" s="175"/>
      <c r="H249" s="136">
        <f>I249+J249+K249+L249+M249</f>
        <v>0</v>
      </c>
      <c r="I249" s="176">
        <v>0</v>
      </c>
      <c r="J249" s="176">
        <v>0</v>
      </c>
      <c r="K249" s="177">
        <v>0</v>
      </c>
      <c r="L249" s="177">
        <v>0</v>
      </c>
      <c r="M249" s="176">
        <v>0</v>
      </c>
      <c r="N249" s="50"/>
      <c r="V249" s="22"/>
      <c r="W249" s="22"/>
    </row>
    <row r="250" spans="1:23" s="97" customFormat="1" ht="40.049999999999997" customHeight="1" thickBot="1" x14ac:dyDescent="0.35">
      <c r="A250" s="22"/>
      <c r="B250" s="118">
        <v>236</v>
      </c>
      <c r="C250" s="453" t="s">
        <v>3</v>
      </c>
      <c r="D250" s="200"/>
      <c r="E250" s="201"/>
      <c r="F250" s="161"/>
      <c r="G250" s="202"/>
      <c r="H250" s="162">
        <f>I250+J250+K250+L250+M250</f>
        <v>5020.75</v>
      </c>
      <c r="I250" s="354">
        <v>5020.75</v>
      </c>
      <c r="J250" s="212">
        <v>0</v>
      </c>
      <c r="K250" s="205">
        <v>0</v>
      </c>
      <c r="L250" s="205">
        <v>0</v>
      </c>
      <c r="M250" s="212">
        <v>0</v>
      </c>
      <c r="N250" s="50"/>
      <c r="V250" s="22"/>
      <c r="W250" s="22"/>
    </row>
    <row r="251" spans="1:23" s="97" customFormat="1" ht="87" customHeight="1" thickBot="1" x14ac:dyDescent="0.35">
      <c r="A251" s="22"/>
      <c r="B251" s="118">
        <v>237</v>
      </c>
      <c r="C251" s="119" t="s">
        <v>152</v>
      </c>
      <c r="D251" s="224" t="s">
        <v>120</v>
      </c>
      <c r="E251" s="225">
        <v>2028</v>
      </c>
      <c r="F251" s="112">
        <v>2028</v>
      </c>
      <c r="G251" s="164" t="s">
        <v>41</v>
      </c>
      <c r="H251" s="396">
        <f>I251+J251+K251+L251+M251</f>
        <v>915500</v>
      </c>
      <c r="I251" s="454">
        <f>SUM(I253:I255)</f>
        <v>0</v>
      </c>
      <c r="J251" s="188">
        <f>SUM(J253:J255)</f>
        <v>0</v>
      </c>
      <c r="K251" s="188">
        <f>SUM(K253:K255)</f>
        <v>0</v>
      </c>
      <c r="L251" s="188">
        <v>492500</v>
      </c>
      <c r="M251" s="188">
        <v>423000</v>
      </c>
      <c r="N251" s="10"/>
      <c r="O251" s="10">
        <v>400000</v>
      </c>
      <c r="P251" s="31">
        <f>SUM(P253:P255)</f>
        <v>423000.00000000006</v>
      </c>
      <c r="Q251" s="31">
        <v>823000</v>
      </c>
      <c r="V251" s="22"/>
      <c r="W251" s="22"/>
    </row>
    <row r="252" spans="1:23" s="97" customFormat="1" ht="40.049999999999997" customHeight="1" thickBot="1" x14ac:dyDescent="0.35">
      <c r="A252" s="22"/>
      <c r="B252" s="118">
        <v>238</v>
      </c>
      <c r="C252" s="226" t="s">
        <v>0</v>
      </c>
      <c r="D252" s="227"/>
      <c r="E252" s="128"/>
      <c r="F252" s="127"/>
      <c r="G252" s="228"/>
      <c r="H252" s="154"/>
      <c r="I252" s="265"/>
      <c r="J252" s="301"/>
      <c r="K252" s="289"/>
      <c r="L252" s="210"/>
      <c r="M252" s="209"/>
      <c r="N252" s="50"/>
      <c r="O252" s="16"/>
      <c r="V252" s="22"/>
      <c r="W252" s="22"/>
    </row>
    <row r="253" spans="1:23" s="97" customFormat="1" ht="40.049999999999997" customHeight="1" thickBot="1" x14ac:dyDescent="0.35">
      <c r="A253" s="22"/>
      <c r="B253" s="118">
        <v>239</v>
      </c>
      <c r="C253" s="195" t="s">
        <v>1</v>
      </c>
      <c r="D253" s="196"/>
      <c r="E253" s="139"/>
      <c r="F253" s="134"/>
      <c r="G253" s="175"/>
      <c r="H253" s="157">
        <f>I253+J253+K253+L253+M253</f>
        <v>823950</v>
      </c>
      <c r="I253" s="267">
        <v>0</v>
      </c>
      <c r="J253" s="197">
        <v>0</v>
      </c>
      <c r="K253" s="244">
        <v>0</v>
      </c>
      <c r="L253" s="447">
        <f>L251*90%</f>
        <v>443250</v>
      </c>
      <c r="M253" s="447">
        <f>M251*90%</f>
        <v>380700</v>
      </c>
      <c r="N253" s="44"/>
      <c r="O253" s="9">
        <f>O251-O254-O255</f>
        <v>392040</v>
      </c>
      <c r="P253" s="3">
        <f>Q253-O253</f>
        <v>414582.30000000005</v>
      </c>
      <c r="Q253" s="3">
        <f>Q251-Q254-Q255</f>
        <v>806622.3</v>
      </c>
      <c r="V253" s="22"/>
      <c r="W253" s="22"/>
    </row>
    <row r="254" spans="1:23" s="97" customFormat="1" ht="40.049999999999997" customHeight="1" thickBot="1" x14ac:dyDescent="0.35">
      <c r="A254" s="22"/>
      <c r="B254" s="118">
        <v>240</v>
      </c>
      <c r="C254" s="195" t="s">
        <v>2</v>
      </c>
      <c r="D254" s="196"/>
      <c r="E254" s="139"/>
      <c r="F254" s="134"/>
      <c r="G254" s="175"/>
      <c r="H254" s="157">
        <f>I254+J254+K254+L254+M254</f>
        <v>82395</v>
      </c>
      <c r="I254" s="267">
        <v>0</v>
      </c>
      <c r="J254" s="197">
        <v>0</v>
      </c>
      <c r="K254" s="244">
        <v>0</v>
      </c>
      <c r="L254" s="447">
        <f>L251*9%</f>
        <v>44325</v>
      </c>
      <c r="M254" s="447">
        <f>M251*9%</f>
        <v>38070</v>
      </c>
      <c r="N254" s="44"/>
      <c r="O254" s="9">
        <f>(O251-O255)/100</f>
        <v>3960</v>
      </c>
      <c r="P254" s="3">
        <f>Q254-O254</f>
        <v>4187.7</v>
      </c>
      <c r="Q254" s="3">
        <f>(Q251-Q255)/100</f>
        <v>8147.7</v>
      </c>
      <c r="V254" s="22"/>
      <c r="W254" s="22"/>
    </row>
    <row r="255" spans="1:23" s="97" customFormat="1" ht="40.049999999999997" customHeight="1" thickBot="1" x14ac:dyDescent="0.35">
      <c r="A255" s="22"/>
      <c r="B255" s="118">
        <v>241</v>
      </c>
      <c r="C255" s="199" t="s">
        <v>3</v>
      </c>
      <c r="D255" s="200"/>
      <c r="E255" s="201"/>
      <c r="F255" s="161"/>
      <c r="G255" s="202"/>
      <c r="H255" s="162">
        <f>I255+J255+K255+L255+M255</f>
        <v>9155</v>
      </c>
      <c r="I255" s="270">
        <v>0</v>
      </c>
      <c r="J255" s="203">
        <v>0</v>
      </c>
      <c r="K255" s="303">
        <v>0</v>
      </c>
      <c r="L255" s="447">
        <f>L251/100</f>
        <v>4925</v>
      </c>
      <c r="M255" s="447">
        <f>M251/100</f>
        <v>4230</v>
      </c>
      <c r="N255" s="44"/>
      <c r="O255" s="9">
        <f>O251/100</f>
        <v>4000</v>
      </c>
      <c r="P255" s="3">
        <f>Q255-O255</f>
        <v>4230</v>
      </c>
      <c r="Q255" s="3">
        <f>Q251/100</f>
        <v>8230</v>
      </c>
      <c r="V255" s="22"/>
      <c r="W255" s="22"/>
    </row>
    <row r="256" spans="1:23" s="97" customFormat="1" ht="117" customHeight="1" thickBot="1" x14ac:dyDescent="0.35">
      <c r="A256" s="22"/>
      <c r="B256" s="118">
        <v>242</v>
      </c>
      <c r="C256" s="337" t="s">
        <v>42</v>
      </c>
      <c r="D256" s="338" t="s">
        <v>118</v>
      </c>
      <c r="E256" s="339">
        <v>2024</v>
      </c>
      <c r="F256" s="340">
        <v>2024</v>
      </c>
      <c r="G256" s="341" t="s">
        <v>54</v>
      </c>
      <c r="H256" s="283">
        <f>I256+J256+K256+L256+M256</f>
        <v>247999.99999999997</v>
      </c>
      <c r="I256" s="330">
        <f>SUM(I258:I260)</f>
        <v>204122.89196999997</v>
      </c>
      <c r="J256" s="284">
        <f>SUM(J258:J260)</f>
        <v>43877.108030000003</v>
      </c>
      <c r="K256" s="188">
        <f>SUM(K258:K260)</f>
        <v>0</v>
      </c>
      <c r="L256" s="188">
        <f>SUM(L258:L260)</f>
        <v>0</v>
      </c>
      <c r="M256" s="284">
        <f>SUM(M258:M260)</f>
        <v>0</v>
      </c>
      <c r="N256" s="10">
        <f>248743.02084-247161.9</f>
        <v>1581.1208400000178</v>
      </c>
      <c r="O256" s="13"/>
      <c r="P256" s="97">
        <v>277087.03999999998</v>
      </c>
      <c r="V256" s="22"/>
      <c r="W256" s="22"/>
    </row>
    <row r="257" spans="1:23" s="97" customFormat="1" ht="40.049999999999997" customHeight="1" thickBot="1" x14ac:dyDescent="0.35">
      <c r="A257" s="22"/>
      <c r="B257" s="118">
        <v>243</v>
      </c>
      <c r="C257" s="318" t="s">
        <v>0</v>
      </c>
      <c r="D257" s="153"/>
      <c r="E257" s="228"/>
      <c r="F257" s="127"/>
      <c r="G257" s="127"/>
      <c r="H257" s="455"/>
      <c r="I257" s="301"/>
      <c r="J257" s="286"/>
      <c r="K257" s="301"/>
      <c r="L257" s="289"/>
      <c r="M257" s="301"/>
      <c r="N257" s="50"/>
      <c r="O257" s="16"/>
      <c r="V257" s="22"/>
      <c r="W257" s="22"/>
    </row>
    <row r="258" spans="1:23" s="97" customFormat="1" ht="40.049999999999997" customHeight="1" thickBot="1" x14ac:dyDescent="0.35">
      <c r="A258" s="22"/>
      <c r="B258" s="118">
        <v>244</v>
      </c>
      <c r="C258" s="319" t="s">
        <v>1</v>
      </c>
      <c r="D258" s="156"/>
      <c r="E258" s="175"/>
      <c r="F258" s="134"/>
      <c r="G258" s="134"/>
      <c r="H258" s="456">
        <f>I258+J258+K258+L258+M258</f>
        <v>113416.4</v>
      </c>
      <c r="I258" s="197">
        <v>113416.4</v>
      </c>
      <c r="J258" s="292">
        <v>0</v>
      </c>
      <c r="K258" s="197">
        <v>0</v>
      </c>
      <c r="L258" s="244">
        <v>0</v>
      </c>
      <c r="M258" s="197">
        <v>0</v>
      </c>
      <c r="N258" s="44"/>
      <c r="O258" s="17"/>
      <c r="P258" s="3">
        <f>(P256-P260)/100*91</f>
        <v>239541.74607999995</v>
      </c>
      <c r="Q258" s="23">
        <f>P258/P256*100</f>
        <v>86.449999999999989</v>
      </c>
      <c r="V258" s="22"/>
      <c r="W258" s="22"/>
    </row>
    <row r="259" spans="1:23" s="97" customFormat="1" ht="40.049999999999997" customHeight="1" thickBot="1" x14ac:dyDescent="0.35">
      <c r="A259" s="22"/>
      <c r="B259" s="118">
        <v>245</v>
      </c>
      <c r="C259" s="319" t="s">
        <v>2</v>
      </c>
      <c r="D259" s="156"/>
      <c r="E259" s="175"/>
      <c r="F259" s="134"/>
      <c r="G259" s="134"/>
      <c r="H259" s="456">
        <f>I259+J259+K259+L259+M259</f>
        <v>122183.59999</v>
      </c>
      <c r="I259" s="197">
        <v>80500.34736</v>
      </c>
      <c r="J259" s="292">
        <v>41683.252630000003</v>
      </c>
      <c r="K259" s="197">
        <v>0</v>
      </c>
      <c r="L259" s="244">
        <v>0</v>
      </c>
      <c r="M259" s="197">
        <v>0</v>
      </c>
      <c r="N259" s="44"/>
      <c r="O259" s="17"/>
      <c r="P259" s="3">
        <f>P256-P258-P260</f>
        <v>23690.941920000027</v>
      </c>
      <c r="Q259" s="23">
        <f>P259/P256*100</f>
        <v>8.5500000000000096</v>
      </c>
      <c r="V259" s="22"/>
      <c r="W259" s="22"/>
    </row>
    <row r="260" spans="1:23" s="97" customFormat="1" ht="40.049999999999997" customHeight="1" thickBot="1" x14ac:dyDescent="0.35">
      <c r="A260" s="22"/>
      <c r="B260" s="118">
        <v>246</v>
      </c>
      <c r="C260" s="319" t="s">
        <v>3</v>
      </c>
      <c r="D260" s="156"/>
      <c r="E260" s="175"/>
      <c r="F260" s="134"/>
      <c r="G260" s="134"/>
      <c r="H260" s="456">
        <f>I260+J260+K260+L260+M260</f>
        <v>12400.00001</v>
      </c>
      <c r="I260" s="197">
        <v>10206.144609999999</v>
      </c>
      <c r="J260" s="292">
        <v>2193.8553999999999</v>
      </c>
      <c r="K260" s="203">
        <v>0</v>
      </c>
      <c r="L260" s="303">
        <v>0</v>
      </c>
      <c r="M260" s="197">
        <v>0</v>
      </c>
      <c r="N260" s="44"/>
      <c r="O260" s="17"/>
      <c r="P260" s="3">
        <f>P256/100*5</f>
        <v>13854.351999999999</v>
      </c>
      <c r="Q260" s="23">
        <f>P260/P256*100</f>
        <v>5</v>
      </c>
      <c r="V260" s="22"/>
      <c r="W260" s="22"/>
    </row>
    <row r="261" spans="1:23" s="97" customFormat="1" ht="94.2" customHeight="1" thickBot="1" x14ac:dyDescent="0.35">
      <c r="A261" s="22"/>
      <c r="B261" s="118">
        <v>247</v>
      </c>
      <c r="C261" s="119" t="s">
        <v>43</v>
      </c>
      <c r="D261" s="224" t="s">
        <v>120</v>
      </c>
      <c r="E261" s="339">
        <v>2024</v>
      </c>
      <c r="F261" s="112">
        <v>2025</v>
      </c>
      <c r="G261" s="341" t="s">
        <v>55</v>
      </c>
      <c r="H261" s="283">
        <f>I261+J261+K261+L261+M261</f>
        <v>237018.18453999999</v>
      </c>
      <c r="I261" s="457">
        <f>SUM(I263:I265)</f>
        <v>139159.09226999999</v>
      </c>
      <c r="J261" s="457">
        <f>SUM(J263:J265)</f>
        <v>97859.092269999994</v>
      </c>
      <c r="K261" s="188">
        <f>SUM(K263:K265)</f>
        <v>0</v>
      </c>
      <c r="L261" s="188">
        <f>SUM(L263:L265)</f>
        <v>0</v>
      </c>
      <c r="M261" s="188">
        <f>SUM(M263:M265)</f>
        <v>0</v>
      </c>
      <c r="N261" s="10"/>
      <c r="O261" s="13"/>
      <c r="P261" s="97">
        <v>289164.90000000002</v>
      </c>
      <c r="V261" s="22"/>
      <c r="W261" s="22"/>
    </row>
    <row r="262" spans="1:23" s="97" customFormat="1" ht="40.049999999999997" customHeight="1" thickBot="1" x14ac:dyDescent="0.35">
      <c r="A262" s="22"/>
      <c r="B262" s="118">
        <v>248</v>
      </c>
      <c r="C262" s="226" t="s">
        <v>0</v>
      </c>
      <c r="D262" s="227"/>
      <c r="E262" s="127"/>
      <c r="F262" s="228"/>
      <c r="G262" s="127"/>
      <c r="H262" s="455"/>
      <c r="I262" s="458"/>
      <c r="J262" s="286"/>
      <c r="K262" s="301"/>
      <c r="L262" s="289"/>
      <c r="M262" s="301"/>
      <c r="N262" s="50"/>
      <c r="O262" s="16"/>
      <c r="V262" s="22"/>
      <c r="W262" s="22"/>
    </row>
    <row r="263" spans="1:23" s="97" customFormat="1" ht="40.049999999999997" customHeight="1" thickBot="1" x14ac:dyDescent="0.35">
      <c r="A263" s="22"/>
      <c r="B263" s="118">
        <v>249</v>
      </c>
      <c r="C263" s="195" t="s">
        <v>1</v>
      </c>
      <c r="D263" s="196"/>
      <c r="E263" s="134"/>
      <c r="F263" s="175"/>
      <c r="G263" s="134"/>
      <c r="H263" s="456">
        <f>I263+J263+K263+L263+M263</f>
        <v>113416.4</v>
      </c>
      <c r="I263" s="459">
        <v>113416.4</v>
      </c>
      <c r="J263" s="292">
        <v>0</v>
      </c>
      <c r="K263" s="197">
        <v>0</v>
      </c>
      <c r="L263" s="244">
        <v>0</v>
      </c>
      <c r="M263" s="197">
        <v>0</v>
      </c>
      <c r="N263" s="44"/>
      <c r="O263" s="17"/>
      <c r="P263" s="3">
        <f>(P261-P265)/100*91</f>
        <v>249983.05605000004</v>
      </c>
      <c r="Q263" s="23">
        <f>P263/P261*100</f>
        <v>86.45</v>
      </c>
      <c r="V263" s="22"/>
      <c r="W263" s="22"/>
    </row>
    <row r="264" spans="1:23" s="97" customFormat="1" ht="40.049999999999997" customHeight="1" thickBot="1" x14ac:dyDescent="0.35">
      <c r="A264" s="22"/>
      <c r="B264" s="118">
        <v>250</v>
      </c>
      <c r="C264" s="195" t="s">
        <v>2</v>
      </c>
      <c r="D264" s="196"/>
      <c r="E264" s="134"/>
      <c r="F264" s="175"/>
      <c r="G264" s="134"/>
      <c r="H264" s="456">
        <f>I264+J264+K264+L264+M264</f>
        <v>111750.87530999999</v>
      </c>
      <c r="I264" s="459">
        <v>18784.737649999999</v>
      </c>
      <c r="J264" s="292">
        <v>92966.137659999993</v>
      </c>
      <c r="K264" s="197">
        <v>0</v>
      </c>
      <c r="L264" s="244">
        <v>0</v>
      </c>
      <c r="M264" s="197">
        <v>0</v>
      </c>
      <c r="N264" s="44"/>
      <c r="O264" s="17"/>
      <c r="P264" s="3">
        <f>P261-P263-P265</f>
        <v>24723.598949999978</v>
      </c>
      <c r="Q264" s="23">
        <f>P264/P261*100</f>
        <v>8.5499999999999901</v>
      </c>
      <c r="V264" s="22"/>
      <c r="W264" s="22"/>
    </row>
    <row r="265" spans="1:23" s="97" customFormat="1" ht="40.049999999999997" customHeight="1" thickBot="1" x14ac:dyDescent="0.35">
      <c r="A265" s="22"/>
      <c r="B265" s="118">
        <v>251</v>
      </c>
      <c r="C265" s="199" t="s">
        <v>3</v>
      </c>
      <c r="D265" s="200"/>
      <c r="E265" s="161"/>
      <c r="F265" s="202"/>
      <c r="G265" s="161"/>
      <c r="H265" s="456">
        <f>I265+J265+K265+L265+M265</f>
        <v>11850.909230000001</v>
      </c>
      <c r="I265" s="460">
        <v>6957.9546200000004</v>
      </c>
      <c r="J265" s="292">
        <v>4892.9546099999998</v>
      </c>
      <c r="K265" s="203">
        <v>0</v>
      </c>
      <c r="L265" s="303">
        <v>0</v>
      </c>
      <c r="M265" s="203">
        <v>0</v>
      </c>
      <c r="N265" s="44"/>
      <c r="O265" s="17"/>
      <c r="P265" s="3">
        <f>P261/100*5</f>
        <v>14458.245000000003</v>
      </c>
      <c r="Q265" s="23">
        <f>P265/P261*100</f>
        <v>5</v>
      </c>
      <c r="V265" s="22"/>
      <c r="W265" s="22"/>
    </row>
    <row r="266" spans="1:23" s="98" customFormat="1" ht="117.6" customHeight="1" thickBot="1" x14ac:dyDescent="0.35">
      <c r="B266" s="118">
        <v>252</v>
      </c>
      <c r="C266" s="119" t="s">
        <v>44</v>
      </c>
      <c r="D266" s="163" t="s">
        <v>118</v>
      </c>
      <c r="E266" s="112">
        <v>2025</v>
      </c>
      <c r="F266" s="112">
        <v>2026</v>
      </c>
      <c r="G266" s="164"/>
      <c r="H266" s="123">
        <f>I266+J266+K266+L266+M266</f>
        <v>100663.32</v>
      </c>
      <c r="I266" s="461">
        <f>SUM(I268:I270)</f>
        <v>0</v>
      </c>
      <c r="J266" s="208">
        <f>SUM(J268:J270)</f>
        <v>0</v>
      </c>
      <c r="K266" s="208">
        <f>K268+K269+K270</f>
        <v>100663.32</v>
      </c>
      <c r="L266" s="208">
        <f>SUM(L268:L270)</f>
        <v>0</v>
      </c>
      <c r="M266" s="231">
        <f>SUM(M268:M270)</f>
        <v>0</v>
      </c>
      <c r="N266" s="10"/>
      <c r="O266" s="13"/>
      <c r="P266" s="97"/>
      <c r="Q266" s="97"/>
      <c r="R266" s="97"/>
      <c r="S266" s="97"/>
      <c r="T266" s="97"/>
      <c r="U266" s="97"/>
    </row>
    <row r="267" spans="1:23" ht="40.049999999999997" customHeight="1" thickBot="1" x14ac:dyDescent="0.35">
      <c r="B267" s="118">
        <v>253</v>
      </c>
      <c r="C267" s="226" t="s">
        <v>0</v>
      </c>
      <c r="D267" s="227"/>
      <c r="E267" s="127"/>
      <c r="F267" s="127"/>
      <c r="G267" s="228"/>
      <c r="H267" s="129"/>
      <c r="I267" s="265"/>
      <c r="J267" s="211"/>
      <c r="K267" s="211"/>
      <c r="L267" s="360"/>
      <c r="M267" s="211"/>
      <c r="N267" s="50"/>
      <c r="O267" s="16"/>
    </row>
    <row r="268" spans="1:23" ht="40.049999999999997" customHeight="1" thickBot="1" x14ac:dyDescent="0.35">
      <c r="B268" s="118">
        <v>254</v>
      </c>
      <c r="C268" s="195" t="s">
        <v>1</v>
      </c>
      <c r="D268" s="196"/>
      <c r="E268" s="134"/>
      <c r="F268" s="134"/>
      <c r="G268" s="175"/>
      <c r="H268" s="136">
        <f>I268+J268+K268+L268+M268</f>
        <v>0</v>
      </c>
      <c r="I268" s="267">
        <v>0</v>
      </c>
      <c r="J268" s="176">
        <v>0</v>
      </c>
      <c r="K268" s="176">
        <v>0</v>
      </c>
      <c r="L268" s="177">
        <v>0</v>
      </c>
      <c r="M268" s="176">
        <v>0</v>
      </c>
      <c r="N268" s="44"/>
      <c r="O268" s="17"/>
      <c r="P268" s="3"/>
      <c r="Q268" s="23"/>
    </row>
    <row r="269" spans="1:23" ht="40.049999999999997" customHeight="1" thickBot="1" x14ac:dyDescent="0.35">
      <c r="B269" s="118">
        <v>255</v>
      </c>
      <c r="C269" s="195" t="s">
        <v>2</v>
      </c>
      <c r="D269" s="196"/>
      <c r="E269" s="134"/>
      <c r="F269" s="134"/>
      <c r="G269" s="175"/>
      <c r="H269" s="136">
        <f>I269+J269+K269+M269</f>
        <v>95630.15400000001</v>
      </c>
      <c r="I269" s="267">
        <v>0</v>
      </c>
      <c r="J269" s="176">
        <v>0</v>
      </c>
      <c r="K269" s="176">
        <v>95630.15400000001</v>
      </c>
      <c r="L269" s="177">
        <v>0</v>
      </c>
      <c r="M269" s="176">
        <v>0</v>
      </c>
      <c r="N269" s="44"/>
      <c r="O269" s="17"/>
      <c r="P269" s="3"/>
    </row>
    <row r="270" spans="1:23" ht="40.049999999999997" customHeight="1" thickBot="1" x14ac:dyDescent="0.35">
      <c r="B270" s="118">
        <v>256</v>
      </c>
      <c r="C270" s="199" t="s">
        <v>3</v>
      </c>
      <c r="D270" s="200"/>
      <c r="E270" s="161"/>
      <c r="F270" s="161"/>
      <c r="G270" s="202"/>
      <c r="H270" s="140">
        <f>I270+J270+K270+L270+M270</f>
        <v>5033.1660000000002</v>
      </c>
      <c r="I270" s="267">
        <v>0</v>
      </c>
      <c r="J270" s="212">
        <v>0</v>
      </c>
      <c r="K270" s="212">
        <v>5033.1660000000002</v>
      </c>
      <c r="L270" s="205">
        <v>0</v>
      </c>
      <c r="M270" s="212">
        <v>0</v>
      </c>
      <c r="N270" s="44"/>
      <c r="O270" s="17"/>
      <c r="P270" s="3"/>
    </row>
    <row r="271" spans="1:23" ht="111.6" customHeight="1" thickBot="1" x14ac:dyDescent="0.35">
      <c r="B271" s="118">
        <v>257</v>
      </c>
      <c r="C271" s="337" t="s">
        <v>45</v>
      </c>
      <c r="D271" s="163" t="s">
        <v>118</v>
      </c>
      <c r="E271" s="112">
        <v>2024</v>
      </c>
      <c r="F271" s="164">
        <v>2025</v>
      </c>
      <c r="G271" s="112" t="s">
        <v>56</v>
      </c>
      <c r="H271" s="214">
        <f>I271+J271+K271+L271+M271</f>
        <v>222312.01863000001</v>
      </c>
      <c r="I271" s="188">
        <f>SUM(I273:I275)</f>
        <v>131806.00930999999</v>
      </c>
      <c r="J271" s="457">
        <f>SUM(J273:J275)</f>
        <v>90506.009319999997</v>
      </c>
      <c r="K271" s="188">
        <f>SUM(K273:K275)</f>
        <v>0</v>
      </c>
      <c r="L271" s="188">
        <f>SUM(L273:L275)</f>
        <v>0</v>
      </c>
      <c r="M271" s="284">
        <f>SUM(M273:M275)</f>
        <v>0</v>
      </c>
      <c r="N271" s="71">
        <v>239083.7</v>
      </c>
      <c r="O271" s="13"/>
      <c r="P271" s="97">
        <v>287680.58</v>
      </c>
    </row>
    <row r="272" spans="1:23" s="97" customFormat="1" ht="40.049999999999997" customHeight="1" thickBot="1" x14ac:dyDescent="0.35">
      <c r="A272" s="22"/>
      <c r="B272" s="118">
        <v>258</v>
      </c>
      <c r="C272" s="226" t="s">
        <v>0</v>
      </c>
      <c r="D272" s="227"/>
      <c r="E272" s="128"/>
      <c r="F272" s="127"/>
      <c r="G272" s="127"/>
      <c r="H272" s="455"/>
      <c r="I272" s="301"/>
      <c r="J272" s="301"/>
      <c r="K272" s="289"/>
      <c r="L272" s="289"/>
      <c r="M272" s="301"/>
      <c r="N272" s="68"/>
      <c r="O272" s="16"/>
      <c r="V272" s="22"/>
      <c r="W272" s="22"/>
    </row>
    <row r="273" spans="1:23" s="97" customFormat="1" ht="40.049999999999997" customHeight="1" thickBot="1" x14ac:dyDescent="0.35">
      <c r="A273" s="22"/>
      <c r="B273" s="118">
        <v>259</v>
      </c>
      <c r="C273" s="195" t="s">
        <v>1</v>
      </c>
      <c r="D273" s="196"/>
      <c r="E273" s="139"/>
      <c r="F273" s="134"/>
      <c r="G273" s="134"/>
      <c r="H273" s="456">
        <f>I273+J273+K273+L273+M273</f>
        <v>113416.4</v>
      </c>
      <c r="I273" s="197">
        <v>113416.4</v>
      </c>
      <c r="J273" s="197">
        <v>0</v>
      </c>
      <c r="K273" s="244">
        <v>0</v>
      </c>
      <c r="L273" s="244">
        <v>0</v>
      </c>
      <c r="M273" s="197">
        <v>0</v>
      </c>
      <c r="N273" s="78">
        <v>113416.4</v>
      </c>
      <c r="O273" s="17"/>
      <c r="P273" s="3">
        <f>(P271-P275)/100*91</f>
        <v>248699.86141000004</v>
      </c>
      <c r="Q273" s="23">
        <f>P273/P271*100</f>
        <v>86.45</v>
      </c>
      <c r="V273" s="22"/>
      <c r="W273" s="22"/>
    </row>
    <row r="274" spans="1:23" s="97" customFormat="1" ht="40.049999999999997" customHeight="1" thickBot="1" x14ac:dyDescent="0.35">
      <c r="A274" s="22"/>
      <c r="B274" s="118">
        <v>260</v>
      </c>
      <c r="C274" s="195" t="s">
        <v>2</v>
      </c>
      <c r="D274" s="196"/>
      <c r="E274" s="139"/>
      <c r="F274" s="134"/>
      <c r="G274" s="134"/>
      <c r="H274" s="456">
        <f>I274+J274+K274+L274+M274</f>
        <v>97780.017689999993</v>
      </c>
      <c r="I274" s="197">
        <v>11799.30884</v>
      </c>
      <c r="J274" s="197">
        <v>85980.708849999995</v>
      </c>
      <c r="K274" s="244">
        <v>0</v>
      </c>
      <c r="L274" s="244">
        <v>0</v>
      </c>
      <c r="M274" s="197">
        <v>0</v>
      </c>
      <c r="N274" s="78">
        <f>N271-N273-N275</f>
        <v>113713.11579000001</v>
      </c>
      <c r="O274" s="17"/>
      <c r="P274" s="3">
        <f>P271-P273-P275</f>
        <v>24596.689589999973</v>
      </c>
      <c r="Q274" s="23">
        <f>P274/P271*100</f>
        <v>8.5499999999999901</v>
      </c>
      <c r="V274" s="22"/>
      <c r="W274" s="22"/>
    </row>
    <row r="275" spans="1:23" s="97" customFormat="1" ht="40.049999999999997" customHeight="1" thickBot="1" x14ac:dyDescent="0.35">
      <c r="A275" s="22"/>
      <c r="B275" s="118">
        <v>261</v>
      </c>
      <c r="C275" s="199" t="s">
        <v>3</v>
      </c>
      <c r="D275" s="200"/>
      <c r="E275" s="201"/>
      <c r="F275" s="161"/>
      <c r="G275" s="161"/>
      <c r="H275" s="456">
        <f>I275+J275+K275+L275+M275</f>
        <v>11115.60094</v>
      </c>
      <c r="I275" s="203">
        <v>6590.3004700000001</v>
      </c>
      <c r="J275" s="203">
        <v>4525.3004700000001</v>
      </c>
      <c r="K275" s="303">
        <v>0</v>
      </c>
      <c r="L275" s="303">
        <v>0</v>
      </c>
      <c r="M275" s="203">
        <v>0</v>
      </c>
      <c r="N275" s="78">
        <v>11954.184209999999</v>
      </c>
      <c r="O275" s="17"/>
      <c r="P275" s="3">
        <f>P271/100*5</f>
        <v>14384.029</v>
      </c>
      <c r="Q275" s="23">
        <f>P275/P271*100</f>
        <v>5</v>
      </c>
      <c r="V275" s="22"/>
      <c r="W275" s="22"/>
    </row>
    <row r="276" spans="1:23" s="97" customFormat="1" ht="93" customHeight="1" thickBot="1" x14ac:dyDescent="0.35">
      <c r="A276" s="22"/>
      <c r="B276" s="118">
        <v>262</v>
      </c>
      <c r="C276" s="119" t="s">
        <v>46</v>
      </c>
      <c r="D276" s="163" t="s">
        <v>118</v>
      </c>
      <c r="E276" s="313">
        <v>2025</v>
      </c>
      <c r="F276" s="112">
        <v>2025</v>
      </c>
      <c r="G276" s="112" t="s">
        <v>57</v>
      </c>
      <c r="H276" s="462">
        <f>I276+J276+K276+L276+M276</f>
        <v>158802.69545661812</v>
      </c>
      <c r="I276" s="208">
        <f>I278+I279+I280</f>
        <v>0</v>
      </c>
      <c r="J276" s="463">
        <f>SUM(J278:J280)</f>
        <v>158802.69545661812</v>
      </c>
      <c r="K276" s="188">
        <f>SUM(K278:K280)</f>
        <v>0</v>
      </c>
      <c r="L276" s="188">
        <f>SUM(L278:L280)</f>
        <v>0</v>
      </c>
      <c r="M276" s="208">
        <f>SUM(M278:M280)</f>
        <v>0</v>
      </c>
      <c r="N276" s="10"/>
      <c r="O276" s="13"/>
      <c r="P276" s="97">
        <v>117569.86</v>
      </c>
      <c r="V276" s="22"/>
      <c r="W276" s="22"/>
    </row>
    <row r="277" spans="1:23" s="97" customFormat="1" ht="40.049999999999997" customHeight="1" thickBot="1" x14ac:dyDescent="0.35">
      <c r="A277" s="22"/>
      <c r="B277" s="118">
        <v>263</v>
      </c>
      <c r="C277" s="189" t="s">
        <v>0</v>
      </c>
      <c r="D277" s="190"/>
      <c r="E277" s="127"/>
      <c r="F277" s="127"/>
      <c r="G277" s="170"/>
      <c r="H277" s="343"/>
      <c r="I277" s="464"/>
      <c r="J277" s="211"/>
      <c r="K277" s="289"/>
      <c r="L277" s="289"/>
      <c r="M277" s="211"/>
      <c r="N277" s="50"/>
      <c r="O277" s="16"/>
      <c r="V277" s="22"/>
      <c r="W277" s="22"/>
    </row>
    <row r="278" spans="1:23" s="97" customFormat="1" ht="40.049999999999997" customHeight="1" thickBot="1" x14ac:dyDescent="0.35">
      <c r="A278" s="22"/>
      <c r="B278" s="118">
        <v>264</v>
      </c>
      <c r="C278" s="195" t="s">
        <v>1</v>
      </c>
      <c r="D278" s="196"/>
      <c r="E278" s="134"/>
      <c r="F278" s="134"/>
      <c r="G278" s="175"/>
      <c r="H278" s="465">
        <f>I278+J278+K278+L278+M278</f>
        <v>137284.92930372601</v>
      </c>
      <c r="I278" s="466">
        <v>0</v>
      </c>
      <c r="J278" s="176">
        <v>137284.92930372601</v>
      </c>
      <c r="K278" s="244">
        <v>0</v>
      </c>
      <c r="L278" s="244">
        <v>0</v>
      </c>
      <c r="M278" s="176">
        <v>0</v>
      </c>
      <c r="N278" s="44"/>
      <c r="O278" s="17"/>
      <c r="P278" s="3">
        <f>(P276-P280)/100*91</f>
        <v>101639.14396999999</v>
      </c>
      <c r="Q278" s="23">
        <f>P278/P276*100</f>
        <v>86.449999999999989</v>
      </c>
      <c r="V278" s="22"/>
      <c r="W278" s="22"/>
    </row>
    <row r="279" spans="1:23" s="97" customFormat="1" ht="40.049999999999997" customHeight="1" thickBot="1" x14ac:dyDescent="0.35">
      <c r="A279" s="22"/>
      <c r="B279" s="118">
        <v>265</v>
      </c>
      <c r="C279" s="195" t="s">
        <v>2</v>
      </c>
      <c r="D279" s="196"/>
      <c r="E279" s="134"/>
      <c r="F279" s="134"/>
      <c r="G279" s="175"/>
      <c r="H279" s="465">
        <f>I279+J279+K279+L279+M279</f>
        <v>13577.6311528921</v>
      </c>
      <c r="I279" s="466">
        <v>0</v>
      </c>
      <c r="J279" s="176">
        <v>13577.6311528921</v>
      </c>
      <c r="K279" s="244">
        <v>0</v>
      </c>
      <c r="L279" s="244">
        <v>0</v>
      </c>
      <c r="M279" s="176">
        <v>0</v>
      </c>
      <c r="N279" s="44"/>
      <c r="O279" s="17"/>
      <c r="P279" s="3">
        <f>P276-P278-P280</f>
        <v>10052.223030000012</v>
      </c>
      <c r="Q279" s="23">
        <f>P279/P276*100</f>
        <v>8.5500000000000096</v>
      </c>
      <c r="V279" s="22"/>
      <c r="W279" s="22"/>
    </row>
    <row r="280" spans="1:23" s="97" customFormat="1" ht="40.049999999999997" customHeight="1" thickBot="1" x14ac:dyDescent="0.35">
      <c r="A280" s="22"/>
      <c r="B280" s="118">
        <v>266</v>
      </c>
      <c r="C280" s="229" t="s">
        <v>3</v>
      </c>
      <c r="D280" s="222"/>
      <c r="E280" s="180"/>
      <c r="F280" s="161"/>
      <c r="G280" s="181"/>
      <c r="H280" s="467">
        <f>I280+J280+K280+L280+M280</f>
        <v>7940.1350000000002</v>
      </c>
      <c r="I280" s="468">
        <v>0</v>
      </c>
      <c r="J280" s="212">
        <v>7940.1350000000002</v>
      </c>
      <c r="K280" s="303">
        <v>0</v>
      </c>
      <c r="L280" s="303">
        <v>0</v>
      </c>
      <c r="M280" s="212">
        <v>0</v>
      </c>
      <c r="N280" s="44"/>
      <c r="O280" s="17"/>
      <c r="P280" s="3">
        <f>P276/100*5</f>
        <v>5878.4929999999995</v>
      </c>
      <c r="Q280" s="23">
        <f>P280/P276*100</f>
        <v>5</v>
      </c>
      <c r="V280" s="22"/>
      <c r="W280" s="22"/>
    </row>
    <row r="281" spans="1:23" s="97" customFormat="1" ht="109.8" customHeight="1" thickBot="1" x14ac:dyDescent="0.35">
      <c r="A281" s="22"/>
      <c r="B281" s="118">
        <v>267</v>
      </c>
      <c r="C281" s="119" t="s">
        <v>131</v>
      </c>
      <c r="D281" s="163" t="s">
        <v>118</v>
      </c>
      <c r="E281" s="225">
        <v>2025</v>
      </c>
      <c r="F281" s="112">
        <v>2025</v>
      </c>
      <c r="G281" s="112" t="s">
        <v>58</v>
      </c>
      <c r="H281" s="462">
        <f>I281+J281+K281+L281+M281</f>
        <v>196456.8943793228</v>
      </c>
      <c r="I281" s="208">
        <f>I283+I284+I285</f>
        <v>0</v>
      </c>
      <c r="J281" s="208">
        <f>SUM(J283:J285)</f>
        <v>196456.8943793228</v>
      </c>
      <c r="K281" s="188">
        <f>SUM(K283:K285)</f>
        <v>0</v>
      </c>
      <c r="L281" s="188">
        <f>SUM(L283:L285)</f>
        <v>0</v>
      </c>
      <c r="M281" s="208">
        <f>SUM(M283:M285)</f>
        <v>0</v>
      </c>
      <c r="N281" s="10"/>
      <c r="O281" s="10"/>
      <c r="P281" s="97">
        <v>186568.75</v>
      </c>
      <c r="Q281" s="31"/>
      <c r="V281" s="22"/>
      <c r="W281" s="22"/>
    </row>
    <row r="282" spans="1:23" s="97" customFormat="1" ht="40.049999999999997" customHeight="1" thickBot="1" x14ac:dyDescent="0.35">
      <c r="A282" s="22"/>
      <c r="B282" s="118">
        <v>268</v>
      </c>
      <c r="C282" s="226" t="s">
        <v>0</v>
      </c>
      <c r="D282" s="227"/>
      <c r="E282" s="128"/>
      <c r="F282" s="127"/>
      <c r="G282" s="127"/>
      <c r="H282" s="324"/>
      <c r="I282" s="325"/>
      <c r="J282" s="211"/>
      <c r="K282" s="289"/>
      <c r="L282" s="289"/>
      <c r="M282" s="211"/>
      <c r="N282" s="50"/>
      <c r="O282" s="16"/>
      <c r="V282" s="22"/>
      <c r="W282" s="22"/>
    </row>
    <row r="283" spans="1:23" s="97" customFormat="1" ht="40.049999999999997" customHeight="1" thickBot="1" x14ac:dyDescent="0.35">
      <c r="A283" s="22"/>
      <c r="B283" s="118">
        <v>269</v>
      </c>
      <c r="C283" s="195" t="s">
        <v>1</v>
      </c>
      <c r="D283" s="196"/>
      <c r="E283" s="139"/>
      <c r="F283" s="134"/>
      <c r="G283" s="134"/>
      <c r="H283" s="469">
        <f>I283+J283+K283+L283+M283</f>
        <v>169836.98405461101</v>
      </c>
      <c r="I283" s="176">
        <v>0</v>
      </c>
      <c r="J283" s="176">
        <v>169836.98405461101</v>
      </c>
      <c r="K283" s="244">
        <v>0</v>
      </c>
      <c r="L283" s="244">
        <v>0</v>
      </c>
      <c r="M283" s="176">
        <v>0</v>
      </c>
      <c r="N283" s="44"/>
      <c r="O283" s="9"/>
      <c r="P283" s="3">
        <f>(P281-P285)/100*91</f>
        <v>161288.68437500001</v>
      </c>
      <c r="Q283" s="3"/>
      <c r="V283" s="22"/>
      <c r="W283" s="22"/>
    </row>
    <row r="284" spans="1:23" s="97" customFormat="1" ht="40.049999999999997" customHeight="1" thickBot="1" x14ac:dyDescent="0.35">
      <c r="A284" s="22"/>
      <c r="B284" s="118">
        <v>270</v>
      </c>
      <c r="C284" s="195" t="s">
        <v>2</v>
      </c>
      <c r="D284" s="196"/>
      <c r="E284" s="139"/>
      <c r="F284" s="134"/>
      <c r="G284" s="134"/>
      <c r="H284" s="469">
        <f>I284+J284+K284+M284</f>
        <v>16797.065324711799</v>
      </c>
      <c r="I284" s="176">
        <v>0</v>
      </c>
      <c r="J284" s="176">
        <v>16797.065324711799</v>
      </c>
      <c r="K284" s="244">
        <v>0</v>
      </c>
      <c r="L284" s="244">
        <v>0</v>
      </c>
      <c r="M284" s="176">
        <v>0</v>
      </c>
      <c r="N284" s="44"/>
      <c r="O284" s="9"/>
      <c r="P284" s="3">
        <f>P281-P283-P285</f>
        <v>15951.628124999988</v>
      </c>
      <c r="Q284" s="3"/>
      <c r="V284" s="22"/>
      <c r="W284" s="22"/>
    </row>
    <row r="285" spans="1:23" s="97" customFormat="1" ht="40.049999999999997" customHeight="1" thickBot="1" x14ac:dyDescent="0.35">
      <c r="A285" s="22"/>
      <c r="B285" s="118">
        <v>271</v>
      </c>
      <c r="C285" s="199" t="s">
        <v>3</v>
      </c>
      <c r="D285" s="200"/>
      <c r="E285" s="201"/>
      <c r="F285" s="161"/>
      <c r="G285" s="161"/>
      <c r="H285" s="470">
        <f>I285+J285+K285+L285+M285</f>
        <v>9822.8449999999993</v>
      </c>
      <c r="I285" s="212">
        <v>0</v>
      </c>
      <c r="J285" s="212">
        <v>9822.8449999999993</v>
      </c>
      <c r="K285" s="303">
        <v>0</v>
      </c>
      <c r="L285" s="303">
        <v>0</v>
      </c>
      <c r="M285" s="212">
        <v>0</v>
      </c>
      <c r="N285" s="44"/>
      <c r="O285" s="9"/>
      <c r="P285" s="3">
        <f>P281/100*5</f>
        <v>9328.4375</v>
      </c>
      <c r="Q285" s="3"/>
      <c r="V285" s="22"/>
      <c r="W285" s="22"/>
    </row>
    <row r="286" spans="1:23" s="97" customFormat="1" ht="120.6" customHeight="1" thickBot="1" x14ac:dyDescent="0.35">
      <c r="A286" s="22"/>
      <c r="B286" s="118">
        <v>272</v>
      </c>
      <c r="C286" s="141" t="s">
        <v>153</v>
      </c>
      <c r="D286" s="163" t="s">
        <v>118</v>
      </c>
      <c r="E286" s="225">
        <v>2025</v>
      </c>
      <c r="F286" s="471">
        <v>2025</v>
      </c>
      <c r="G286" s="116" t="s">
        <v>59</v>
      </c>
      <c r="H286" s="472">
        <f>I286+J286+K286+L286+M286</f>
        <v>147236.54578752842</v>
      </c>
      <c r="I286" s="473">
        <f>I288+I289+I290</f>
        <v>0</v>
      </c>
      <c r="J286" s="188">
        <f>SUM(J288:J290)</f>
        <v>147236.54578752842</v>
      </c>
      <c r="K286" s="188">
        <f>SUM(K288:K290)</f>
        <v>0</v>
      </c>
      <c r="L286" s="188">
        <f>SUM(L288:L290)</f>
        <v>0</v>
      </c>
      <c r="M286" s="188">
        <f>SUM(M288:M290)</f>
        <v>0</v>
      </c>
      <c r="N286" s="10"/>
      <c r="O286" s="10"/>
      <c r="P286" s="31">
        <v>201942.95</v>
      </c>
      <c r="Q286" s="31"/>
      <c r="V286" s="22"/>
      <c r="W286" s="22"/>
    </row>
    <row r="287" spans="1:23" s="97" customFormat="1" ht="40.049999999999997" customHeight="1" thickBot="1" x14ac:dyDescent="0.35">
      <c r="A287" s="22"/>
      <c r="B287" s="118">
        <v>273</v>
      </c>
      <c r="C287" s="189" t="s">
        <v>0</v>
      </c>
      <c r="D287" s="196"/>
      <c r="E287" s="127"/>
      <c r="F287" s="170"/>
      <c r="G287" s="127"/>
      <c r="H287" s="474"/>
      <c r="I287" s="325"/>
      <c r="J287" s="173"/>
      <c r="K287" s="289"/>
      <c r="L287" s="289"/>
      <c r="M287" s="173"/>
      <c r="N287" s="50"/>
      <c r="O287" s="16"/>
      <c r="V287" s="22"/>
      <c r="W287" s="22"/>
    </row>
    <row r="288" spans="1:23" ht="40.049999999999997" customHeight="1" thickBot="1" x14ac:dyDescent="0.35">
      <c r="B288" s="118">
        <v>274</v>
      </c>
      <c r="C288" s="195" t="s">
        <v>1</v>
      </c>
      <c r="D288" s="196"/>
      <c r="E288" s="134"/>
      <c r="F288" s="175"/>
      <c r="G288" s="134"/>
      <c r="H288" s="469">
        <f>I288+J288+K288+L288+M288</f>
        <v>127285.992981697</v>
      </c>
      <c r="I288" s="176">
        <v>0</v>
      </c>
      <c r="J288" s="176">
        <v>127285.992981697</v>
      </c>
      <c r="K288" s="244">
        <v>0</v>
      </c>
      <c r="L288" s="244">
        <v>0</v>
      </c>
      <c r="M288" s="176">
        <v>0</v>
      </c>
      <c r="N288" s="44"/>
      <c r="O288" s="9"/>
      <c r="P288" s="3">
        <f>(P286-P290)/100*91</f>
        <v>174579.68027500002</v>
      </c>
      <c r="Q288" s="3"/>
    </row>
    <row r="289" spans="2:21" ht="40.049999999999997" customHeight="1" thickBot="1" x14ac:dyDescent="0.35">
      <c r="B289" s="118">
        <v>275</v>
      </c>
      <c r="C289" s="195" t="s">
        <v>2</v>
      </c>
      <c r="D289" s="196"/>
      <c r="E289" s="134"/>
      <c r="F289" s="175"/>
      <c r="G289" s="134"/>
      <c r="H289" s="469">
        <f>I289+J289+K289+L289+M289</f>
        <v>12588.7253058314</v>
      </c>
      <c r="I289" s="176">
        <v>0</v>
      </c>
      <c r="J289" s="176">
        <v>12588.7253058314</v>
      </c>
      <c r="K289" s="244">
        <v>0</v>
      </c>
      <c r="L289" s="244">
        <v>0</v>
      </c>
      <c r="M289" s="176">
        <v>0</v>
      </c>
      <c r="N289" s="44"/>
      <c r="O289" s="9"/>
      <c r="P289" s="3">
        <f>P286-P288-P290</f>
        <v>17266.122224999992</v>
      </c>
      <c r="Q289" s="3"/>
    </row>
    <row r="290" spans="2:21" ht="40.049999999999997" customHeight="1" thickBot="1" x14ac:dyDescent="0.35">
      <c r="B290" s="118">
        <v>276</v>
      </c>
      <c r="C290" s="229" t="s">
        <v>3</v>
      </c>
      <c r="D290" s="222"/>
      <c r="E290" s="161"/>
      <c r="F290" s="181"/>
      <c r="G290" s="161"/>
      <c r="H290" s="475">
        <f>I290+J290+K290+L290+M290</f>
        <v>7361.8275000000003</v>
      </c>
      <c r="I290" s="212">
        <v>0</v>
      </c>
      <c r="J290" s="184">
        <v>7361.8275000000003</v>
      </c>
      <c r="K290" s="303">
        <v>0</v>
      </c>
      <c r="L290" s="303">
        <v>0</v>
      </c>
      <c r="M290" s="212">
        <v>0</v>
      </c>
      <c r="N290" s="44"/>
      <c r="O290" s="9"/>
      <c r="P290" s="3">
        <f>P286/100*5</f>
        <v>10097.147500000001</v>
      </c>
      <c r="Q290" s="3"/>
    </row>
    <row r="291" spans="2:21" s="98" customFormat="1" ht="133.80000000000001" customHeight="1" thickBot="1" x14ac:dyDescent="0.35">
      <c r="B291" s="118">
        <v>277</v>
      </c>
      <c r="C291" s="119" t="s">
        <v>47</v>
      </c>
      <c r="D291" s="163" t="s">
        <v>118</v>
      </c>
      <c r="E291" s="476">
        <v>2025</v>
      </c>
      <c r="F291" s="164">
        <v>2025</v>
      </c>
      <c r="G291" s="112" t="s">
        <v>28</v>
      </c>
      <c r="H291" s="477">
        <f>I291+J291+K291+L291+M291</f>
        <v>1500</v>
      </c>
      <c r="I291" s="478">
        <f>I293+I294+I295</f>
        <v>1500</v>
      </c>
      <c r="J291" s="473">
        <f>J293+J294+J295</f>
        <v>0</v>
      </c>
      <c r="K291" s="188">
        <f>SUM(K293:K295)</f>
        <v>0</v>
      </c>
      <c r="L291" s="188">
        <f>SUM(L293:L295)</f>
        <v>0</v>
      </c>
      <c r="M291" s="208">
        <f>SUM(M293:M295)</f>
        <v>0</v>
      </c>
      <c r="N291" s="40"/>
      <c r="O291" s="13"/>
      <c r="P291" s="97"/>
      <c r="Q291" s="97"/>
      <c r="R291" s="97"/>
      <c r="S291" s="97"/>
      <c r="T291" s="97"/>
      <c r="U291" s="97"/>
    </row>
    <row r="292" spans="2:21" ht="40.049999999999997" customHeight="1" thickBot="1" x14ac:dyDescent="0.35">
      <c r="B292" s="118">
        <v>278</v>
      </c>
      <c r="C292" s="189" t="s">
        <v>0</v>
      </c>
      <c r="D292" s="190"/>
      <c r="E292" s="127"/>
      <c r="F292" s="127"/>
      <c r="G292" s="170"/>
      <c r="H292" s="343"/>
      <c r="I292" s="464"/>
      <c r="J292" s="479"/>
      <c r="K292" s="289"/>
      <c r="L292" s="289"/>
      <c r="M292" s="211"/>
      <c r="N292" s="41"/>
      <c r="O292" s="16"/>
    </row>
    <row r="293" spans="2:21" ht="40.049999999999997" customHeight="1" thickBot="1" x14ac:dyDescent="0.35">
      <c r="B293" s="118">
        <v>279</v>
      </c>
      <c r="C293" s="195" t="s">
        <v>1</v>
      </c>
      <c r="D293" s="196"/>
      <c r="E293" s="134"/>
      <c r="F293" s="134"/>
      <c r="G293" s="175"/>
      <c r="H293" s="136">
        <f>I293+J293+K293+L293+M293</f>
        <v>0</v>
      </c>
      <c r="I293" s="177">
        <v>0</v>
      </c>
      <c r="J293" s="244">
        <v>0</v>
      </c>
      <c r="K293" s="244">
        <v>0</v>
      </c>
      <c r="L293" s="244">
        <v>0</v>
      </c>
      <c r="M293" s="176">
        <v>0</v>
      </c>
      <c r="N293" s="45"/>
      <c r="O293" s="17"/>
      <c r="P293" s="3"/>
      <c r="Q293" s="23"/>
    </row>
    <row r="294" spans="2:21" ht="40.049999999999997" customHeight="1" thickBot="1" x14ac:dyDescent="0.35">
      <c r="B294" s="118">
        <v>280</v>
      </c>
      <c r="C294" s="195" t="s">
        <v>2</v>
      </c>
      <c r="D294" s="196"/>
      <c r="E294" s="134"/>
      <c r="F294" s="134"/>
      <c r="G294" s="175"/>
      <c r="H294" s="136">
        <f>I294+J294+K294+L294+M294</f>
        <v>0</v>
      </c>
      <c r="I294" s="177">
        <v>0</v>
      </c>
      <c r="J294" s="244">
        <v>0</v>
      </c>
      <c r="K294" s="244">
        <v>0</v>
      </c>
      <c r="L294" s="244">
        <v>0</v>
      </c>
      <c r="M294" s="176">
        <v>0</v>
      </c>
      <c r="N294" s="45"/>
      <c r="O294" s="17"/>
      <c r="P294" s="3"/>
    </row>
    <row r="295" spans="2:21" ht="40.049999999999997" customHeight="1" thickBot="1" x14ac:dyDescent="0.35">
      <c r="B295" s="118">
        <v>281</v>
      </c>
      <c r="C295" s="229" t="s">
        <v>3</v>
      </c>
      <c r="D295" s="222"/>
      <c r="E295" s="180"/>
      <c r="F295" s="180"/>
      <c r="G295" s="181"/>
      <c r="H295" s="467">
        <f>I295+J295+K295+L295+M295</f>
        <v>1500</v>
      </c>
      <c r="I295" s="468">
        <v>1500</v>
      </c>
      <c r="J295" s="480">
        <v>0</v>
      </c>
      <c r="K295" s="303">
        <v>0</v>
      </c>
      <c r="L295" s="303">
        <v>0</v>
      </c>
      <c r="M295" s="184">
        <v>0</v>
      </c>
      <c r="N295" s="45"/>
      <c r="O295" s="17"/>
      <c r="P295" s="3"/>
    </row>
    <row r="296" spans="2:21" ht="91.2" customHeight="1" thickBot="1" x14ac:dyDescent="0.35">
      <c r="B296" s="118">
        <v>282</v>
      </c>
      <c r="C296" s="119" t="s">
        <v>139</v>
      </c>
      <c r="D296" s="163" t="s">
        <v>118</v>
      </c>
      <c r="E296" s="112">
        <v>2026</v>
      </c>
      <c r="F296" s="164">
        <v>2026</v>
      </c>
      <c r="G296" s="112" t="s">
        <v>60</v>
      </c>
      <c r="H296" s="477">
        <f>I296+J296+K296+L296+M296</f>
        <v>271281.70223856781</v>
      </c>
      <c r="I296" s="208">
        <f>SUM(I298:I300)</f>
        <v>0</v>
      </c>
      <c r="J296" s="208">
        <f>SUM(J298:J300)</f>
        <v>0</v>
      </c>
      <c r="K296" s="481">
        <f>K298+K299+K300</f>
        <v>271281.70223856781</v>
      </c>
      <c r="L296" s="188">
        <f>SUM(L298:L300)</f>
        <v>0</v>
      </c>
      <c r="M296" s="208">
        <f>SUM(M298:M300)</f>
        <v>0</v>
      </c>
      <c r="N296" s="40"/>
      <c r="O296" s="14"/>
      <c r="P296" s="97">
        <v>271281.7</v>
      </c>
    </row>
    <row r="297" spans="2:21" ht="40.049999999999997" customHeight="1" thickBot="1" x14ac:dyDescent="0.35">
      <c r="B297" s="118">
        <v>283</v>
      </c>
      <c r="C297" s="226" t="s">
        <v>0</v>
      </c>
      <c r="D297" s="227"/>
      <c r="E297" s="127"/>
      <c r="F297" s="228"/>
      <c r="G297" s="127"/>
      <c r="H297" s="482"/>
      <c r="I297" s="211"/>
      <c r="J297" s="483"/>
      <c r="K297" s="483"/>
      <c r="L297" s="289"/>
      <c r="M297" s="211"/>
      <c r="N297" s="41"/>
      <c r="O297" s="16"/>
    </row>
    <row r="298" spans="2:21" ht="40.049999999999997" customHeight="1" thickBot="1" x14ac:dyDescent="0.35">
      <c r="B298" s="118">
        <v>284</v>
      </c>
      <c r="C298" s="195" t="s">
        <v>1</v>
      </c>
      <c r="D298" s="196"/>
      <c r="E298" s="134"/>
      <c r="F298" s="175"/>
      <c r="G298" s="134"/>
      <c r="H298" s="484">
        <f>I298+J298+K298+L298+M298</f>
        <v>234523.030016139</v>
      </c>
      <c r="I298" s="176">
        <v>0</v>
      </c>
      <c r="J298" s="485">
        <v>0</v>
      </c>
      <c r="K298" s="486">
        <v>234523.030016139</v>
      </c>
      <c r="L298" s="244">
        <v>0</v>
      </c>
      <c r="M298" s="176">
        <v>0</v>
      </c>
      <c r="N298" s="45"/>
      <c r="O298" s="17"/>
      <c r="P298" s="3">
        <f>(P296-P300)/100*91</f>
        <v>234523.02965000001</v>
      </c>
      <c r="Q298" s="23">
        <f>P296-P300</f>
        <v>257717.61500000002</v>
      </c>
    </row>
    <row r="299" spans="2:21" ht="40.049999999999997" customHeight="1" thickBot="1" x14ac:dyDescent="0.35">
      <c r="B299" s="118">
        <v>285</v>
      </c>
      <c r="C299" s="195" t="s">
        <v>2</v>
      </c>
      <c r="D299" s="196"/>
      <c r="E299" s="134"/>
      <c r="F299" s="175"/>
      <c r="G299" s="134"/>
      <c r="H299" s="484">
        <f>I299+J299+K299+L299+M299</f>
        <v>23194.58672242879</v>
      </c>
      <c r="I299" s="176">
        <v>0</v>
      </c>
      <c r="J299" s="485">
        <v>0</v>
      </c>
      <c r="K299" s="486">
        <v>23194.58672242879</v>
      </c>
      <c r="L299" s="244">
        <v>0</v>
      </c>
      <c r="M299" s="176">
        <v>0</v>
      </c>
      <c r="N299" s="45"/>
      <c r="O299" s="17"/>
      <c r="P299" s="3">
        <f>P296-P298-P300</f>
        <v>23194.585350000001</v>
      </c>
    </row>
    <row r="300" spans="2:21" ht="40.049999999999997" customHeight="1" thickBot="1" x14ac:dyDescent="0.35">
      <c r="B300" s="118">
        <v>286</v>
      </c>
      <c r="C300" s="199" t="s">
        <v>3</v>
      </c>
      <c r="D300" s="200"/>
      <c r="E300" s="161"/>
      <c r="F300" s="202"/>
      <c r="G300" s="161"/>
      <c r="H300" s="487">
        <f>I300+J300+K300+L300+M300</f>
        <v>13564.085500000001</v>
      </c>
      <c r="I300" s="212">
        <v>0</v>
      </c>
      <c r="J300" s="488">
        <v>0</v>
      </c>
      <c r="K300" s="489">
        <v>13564.085500000001</v>
      </c>
      <c r="L300" s="303">
        <v>0</v>
      </c>
      <c r="M300" s="212">
        <v>0</v>
      </c>
      <c r="N300" s="45"/>
      <c r="O300" s="17"/>
      <c r="P300" s="3">
        <f>P296/100*5</f>
        <v>13564.084999999999</v>
      </c>
    </row>
    <row r="301" spans="2:21" s="98" customFormat="1" ht="130.80000000000001" customHeight="1" thickBot="1" x14ac:dyDescent="0.35">
      <c r="B301" s="118">
        <v>287</v>
      </c>
      <c r="C301" s="119" t="s">
        <v>48</v>
      </c>
      <c r="D301" s="163" t="s">
        <v>118</v>
      </c>
      <c r="E301" s="112">
        <v>2025</v>
      </c>
      <c r="F301" s="164">
        <v>2025</v>
      </c>
      <c r="G301" s="112" t="s">
        <v>28</v>
      </c>
      <c r="H301" s="462">
        <f>I301+J301+K301+L301+M301</f>
        <v>1595</v>
      </c>
      <c r="I301" s="188">
        <f>SUM(I303:I305)</f>
        <v>1595</v>
      </c>
      <c r="J301" s="188">
        <f>SUM(J303:J305)</f>
        <v>0</v>
      </c>
      <c r="K301" s="188">
        <f>SUM(K303:K305)</f>
        <v>0</v>
      </c>
      <c r="L301" s="188">
        <f>SUM(L303:L305)</f>
        <v>0</v>
      </c>
      <c r="M301" s="208">
        <f>SUM(M303:M305)</f>
        <v>0</v>
      </c>
      <c r="N301" s="40"/>
      <c r="O301" s="13"/>
      <c r="P301" s="97"/>
      <c r="Q301" s="97"/>
      <c r="R301" s="97"/>
      <c r="S301" s="97"/>
      <c r="T301" s="97"/>
      <c r="U301" s="97"/>
    </row>
    <row r="302" spans="2:21" ht="40.049999999999997" customHeight="1" thickBot="1" x14ac:dyDescent="0.35">
      <c r="B302" s="118">
        <v>288</v>
      </c>
      <c r="C302" s="226" t="s">
        <v>0</v>
      </c>
      <c r="D302" s="227"/>
      <c r="E302" s="128"/>
      <c r="F302" s="127"/>
      <c r="G302" s="228"/>
      <c r="H302" s="343"/>
      <c r="I302" s="490"/>
      <c r="J302" s="490"/>
      <c r="K302" s="289"/>
      <c r="L302" s="289"/>
      <c r="M302" s="211"/>
      <c r="N302" s="41"/>
      <c r="O302" s="16"/>
    </row>
    <row r="303" spans="2:21" ht="40.049999999999997" customHeight="1" thickBot="1" x14ac:dyDescent="0.35">
      <c r="B303" s="118">
        <v>289</v>
      </c>
      <c r="C303" s="195" t="s">
        <v>1</v>
      </c>
      <c r="D303" s="196"/>
      <c r="E303" s="139"/>
      <c r="F303" s="134"/>
      <c r="G303" s="175"/>
      <c r="H303" s="136">
        <f>I303+J303+M303</f>
        <v>0</v>
      </c>
      <c r="I303" s="177">
        <v>0</v>
      </c>
      <c r="J303" s="177">
        <v>0</v>
      </c>
      <c r="K303" s="244">
        <v>0</v>
      </c>
      <c r="L303" s="244">
        <v>0</v>
      </c>
      <c r="M303" s="176">
        <v>0</v>
      </c>
      <c r="N303" s="45"/>
      <c r="O303" s="17"/>
      <c r="P303" s="3"/>
      <c r="Q303" s="23"/>
    </row>
    <row r="304" spans="2:21" ht="40.049999999999997" customHeight="1" thickBot="1" x14ac:dyDescent="0.35">
      <c r="B304" s="118">
        <v>290</v>
      </c>
      <c r="C304" s="195" t="s">
        <v>2</v>
      </c>
      <c r="D304" s="196"/>
      <c r="E304" s="139"/>
      <c r="F304" s="134"/>
      <c r="G304" s="175"/>
      <c r="H304" s="136">
        <f>I304+J304+M304</f>
        <v>0</v>
      </c>
      <c r="I304" s="177">
        <v>0</v>
      </c>
      <c r="J304" s="177">
        <v>0</v>
      </c>
      <c r="K304" s="244">
        <v>0</v>
      </c>
      <c r="L304" s="244">
        <v>0</v>
      </c>
      <c r="M304" s="176">
        <v>0</v>
      </c>
      <c r="N304" s="45"/>
      <c r="O304" s="17"/>
      <c r="P304" s="3"/>
    </row>
    <row r="305" spans="2:21" ht="40.049999999999997" customHeight="1" thickBot="1" x14ac:dyDescent="0.35">
      <c r="B305" s="118">
        <v>291</v>
      </c>
      <c r="C305" s="199" t="s">
        <v>3</v>
      </c>
      <c r="D305" s="200"/>
      <c r="E305" s="201"/>
      <c r="F305" s="161"/>
      <c r="G305" s="202"/>
      <c r="H305" s="491">
        <f>I305+J305+M305</f>
        <v>1595</v>
      </c>
      <c r="I305" s="492">
        <v>1595</v>
      </c>
      <c r="J305" s="492">
        <v>0</v>
      </c>
      <c r="K305" s="303">
        <v>0</v>
      </c>
      <c r="L305" s="303">
        <v>0</v>
      </c>
      <c r="M305" s="212">
        <v>0</v>
      </c>
      <c r="N305" s="45"/>
      <c r="O305" s="17"/>
      <c r="P305" s="3"/>
    </row>
    <row r="306" spans="2:21" ht="141" customHeight="1" thickBot="1" x14ac:dyDescent="0.35">
      <c r="B306" s="118">
        <v>292</v>
      </c>
      <c r="C306" s="119" t="s">
        <v>49</v>
      </c>
      <c r="D306" s="163" t="s">
        <v>118</v>
      </c>
      <c r="E306" s="112">
        <v>2026</v>
      </c>
      <c r="F306" s="112">
        <v>2026</v>
      </c>
      <c r="G306" s="164" t="s">
        <v>61</v>
      </c>
      <c r="H306" s="493">
        <f>I306+J306+K306+L306+M306</f>
        <v>205321.42</v>
      </c>
      <c r="I306" s="188">
        <f>I308+I309+I310</f>
        <v>0</v>
      </c>
      <c r="J306" s="188">
        <f>SUM(J308:J310)</f>
        <v>0</v>
      </c>
      <c r="K306" s="188">
        <f>SUM(K308:K310)</f>
        <v>205321.42</v>
      </c>
      <c r="L306" s="188">
        <f>SUM(L308:L310)</f>
        <v>0</v>
      </c>
      <c r="M306" s="188">
        <f>SUM(M308:M310)</f>
        <v>0</v>
      </c>
      <c r="N306" s="10"/>
      <c r="O306" s="13"/>
      <c r="P306" s="97">
        <v>205321.42</v>
      </c>
    </row>
    <row r="307" spans="2:21" ht="40.049999999999997" customHeight="1" thickBot="1" x14ac:dyDescent="0.35">
      <c r="B307" s="118">
        <v>293</v>
      </c>
      <c r="C307" s="189" t="s">
        <v>0</v>
      </c>
      <c r="D307" s="190"/>
      <c r="E307" s="127"/>
      <c r="F307" s="170"/>
      <c r="G307" s="127"/>
      <c r="H307" s="494"/>
      <c r="I307" s="301"/>
      <c r="J307" s="193"/>
      <c r="K307" s="193"/>
      <c r="L307" s="289"/>
      <c r="M307" s="301"/>
      <c r="N307" s="50"/>
      <c r="O307" s="16"/>
    </row>
    <row r="308" spans="2:21" ht="40.049999999999997" customHeight="1" thickBot="1" x14ac:dyDescent="0.35">
      <c r="B308" s="118">
        <v>294</v>
      </c>
      <c r="C308" s="195" t="s">
        <v>1</v>
      </c>
      <c r="D308" s="196"/>
      <c r="E308" s="134"/>
      <c r="F308" s="175"/>
      <c r="G308" s="134"/>
      <c r="H308" s="456">
        <f>I308+J308+K308+L308+M308</f>
        <v>177500.37</v>
      </c>
      <c r="I308" s="197">
        <v>0</v>
      </c>
      <c r="J308" s="197">
        <v>0</v>
      </c>
      <c r="K308" s="197">
        <v>177500.37</v>
      </c>
      <c r="L308" s="244">
        <v>0</v>
      </c>
      <c r="M308" s="197">
        <v>0</v>
      </c>
      <c r="N308" s="44"/>
      <c r="O308" s="17"/>
      <c r="P308" s="3">
        <f>(P306-P310)/100*91</f>
        <v>177500.36759000001</v>
      </c>
      <c r="Q308" s="23">
        <f>P306-P310</f>
        <v>195055.34900000002</v>
      </c>
    </row>
    <row r="309" spans="2:21" ht="40.049999999999997" customHeight="1" thickBot="1" x14ac:dyDescent="0.35">
      <c r="B309" s="118">
        <v>295</v>
      </c>
      <c r="C309" s="195" t="s">
        <v>2</v>
      </c>
      <c r="D309" s="196"/>
      <c r="E309" s="134"/>
      <c r="F309" s="175"/>
      <c r="G309" s="134"/>
      <c r="H309" s="456">
        <f>I309+J309+K309+L309+M309</f>
        <v>17554.98</v>
      </c>
      <c r="I309" s="197">
        <v>0</v>
      </c>
      <c r="J309" s="197">
        <v>0</v>
      </c>
      <c r="K309" s="197">
        <v>17554.98</v>
      </c>
      <c r="L309" s="244">
        <v>0</v>
      </c>
      <c r="M309" s="197">
        <v>0</v>
      </c>
      <c r="N309" s="44"/>
      <c r="O309" s="17"/>
      <c r="P309" s="3">
        <f>P306-P308-P310</f>
        <v>17554.98141</v>
      </c>
    </row>
    <row r="310" spans="2:21" ht="40.049999999999997" customHeight="1" thickBot="1" x14ac:dyDescent="0.35">
      <c r="B310" s="118">
        <v>296</v>
      </c>
      <c r="C310" s="229" t="s">
        <v>3</v>
      </c>
      <c r="D310" s="222"/>
      <c r="E310" s="180"/>
      <c r="F310" s="181"/>
      <c r="G310" s="180"/>
      <c r="H310" s="495">
        <f>I310+J310+K310+L310+M310</f>
        <v>10266.07</v>
      </c>
      <c r="I310" s="203">
        <v>0</v>
      </c>
      <c r="J310" s="336">
        <v>0</v>
      </c>
      <c r="K310" s="336">
        <v>10266.07</v>
      </c>
      <c r="L310" s="303">
        <v>0</v>
      </c>
      <c r="M310" s="203">
        <v>0</v>
      </c>
      <c r="N310" s="44"/>
      <c r="O310" s="17"/>
      <c r="P310" s="3">
        <f>P306/100*5</f>
        <v>10266.071000000002</v>
      </c>
    </row>
    <row r="311" spans="2:21" s="98" customFormat="1" ht="132" customHeight="1" thickBot="1" x14ac:dyDescent="0.35">
      <c r="B311" s="118">
        <v>297</v>
      </c>
      <c r="C311" s="119" t="s">
        <v>50</v>
      </c>
      <c r="D311" s="163" t="s">
        <v>118</v>
      </c>
      <c r="E311" s="112">
        <v>2025</v>
      </c>
      <c r="F311" s="164">
        <v>2025</v>
      </c>
      <c r="G311" s="112" t="s">
        <v>28</v>
      </c>
      <c r="H311" s="214">
        <f>I311+J311+K311+L311+M311</f>
        <v>1750</v>
      </c>
      <c r="I311" s="496">
        <f>SUM(I312:I315)</f>
        <v>1750</v>
      </c>
      <c r="J311" s="496">
        <f>SUM(J312:J315)</f>
        <v>0</v>
      </c>
      <c r="K311" s="188">
        <f>SUM(K313:K315)</f>
        <v>0</v>
      </c>
      <c r="L311" s="188">
        <f>SUM(L313:L315)</f>
        <v>0</v>
      </c>
      <c r="M311" s="188">
        <f>SUM(M313:M315)</f>
        <v>0</v>
      </c>
      <c r="N311" s="10"/>
      <c r="O311" s="13"/>
      <c r="P311" s="97"/>
      <c r="Q311" s="97"/>
      <c r="R311" s="97"/>
      <c r="S311" s="97"/>
      <c r="T311" s="97"/>
      <c r="U311" s="97"/>
    </row>
    <row r="312" spans="2:21" ht="40.049999999999997" customHeight="1" thickBot="1" x14ac:dyDescent="0.35">
      <c r="B312" s="118">
        <v>298</v>
      </c>
      <c r="C312" s="189" t="s">
        <v>0</v>
      </c>
      <c r="D312" s="190"/>
      <c r="E312" s="127"/>
      <c r="F312" s="170"/>
      <c r="G312" s="127"/>
      <c r="H312" s="216"/>
      <c r="I312" s="479"/>
      <c r="J312" s="479"/>
      <c r="K312" s="289"/>
      <c r="L312" s="289"/>
      <c r="M312" s="301"/>
      <c r="N312" s="50"/>
      <c r="O312" s="16"/>
    </row>
    <row r="313" spans="2:21" ht="40.049999999999997" customHeight="1" thickBot="1" x14ac:dyDescent="0.35">
      <c r="B313" s="118">
        <v>299</v>
      </c>
      <c r="C313" s="195" t="s">
        <v>1</v>
      </c>
      <c r="D313" s="196"/>
      <c r="E313" s="134"/>
      <c r="F313" s="175"/>
      <c r="G313" s="134"/>
      <c r="H313" s="291">
        <f>I313+J313+K313+L313+M313</f>
        <v>0</v>
      </c>
      <c r="I313" s="244">
        <v>0</v>
      </c>
      <c r="J313" s="244">
        <v>0</v>
      </c>
      <c r="K313" s="244">
        <v>0</v>
      </c>
      <c r="L313" s="244">
        <v>0</v>
      </c>
      <c r="M313" s="197">
        <v>0</v>
      </c>
      <c r="N313" s="44"/>
      <c r="O313" s="17"/>
      <c r="P313" s="3"/>
      <c r="Q313" s="23"/>
    </row>
    <row r="314" spans="2:21" ht="40.049999999999997" customHeight="1" thickBot="1" x14ac:dyDescent="0.35">
      <c r="B314" s="118">
        <v>300</v>
      </c>
      <c r="C314" s="195" t="s">
        <v>2</v>
      </c>
      <c r="D314" s="196"/>
      <c r="E314" s="134"/>
      <c r="F314" s="175"/>
      <c r="G314" s="134"/>
      <c r="H314" s="291">
        <f>I314+J314+K314+L314+M314</f>
        <v>0</v>
      </c>
      <c r="I314" s="244">
        <v>0</v>
      </c>
      <c r="J314" s="244">
        <v>0</v>
      </c>
      <c r="K314" s="244">
        <v>0</v>
      </c>
      <c r="L314" s="244">
        <v>0</v>
      </c>
      <c r="M314" s="197">
        <v>0</v>
      </c>
      <c r="N314" s="44"/>
      <c r="O314" s="17"/>
      <c r="P314" s="3"/>
    </row>
    <row r="315" spans="2:21" ht="40.049999999999997" customHeight="1" thickBot="1" x14ac:dyDescent="0.35">
      <c r="B315" s="118">
        <v>301</v>
      </c>
      <c r="C315" s="229" t="s">
        <v>3</v>
      </c>
      <c r="D315" s="222"/>
      <c r="E315" s="180"/>
      <c r="F315" s="181"/>
      <c r="G315" s="161"/>
      <c r="H315" s="294">
        <f>I315+J315+K315+L315+M315</f>
        <v>1750</v>
      </c>
      <c r="I315" s="480">
        <v>1750</v>
      </c>
      <c r="J315" s="480">
        <v>0</v>
      </c>
      <c r="K315" s="303">
        <v>0</v>
      </c>
      <c r="L315" s="303">
        <v>0</v>
      </c>
      <c r="M315" s="336">
        <v>0</v>
      </c>
      <c r="N315" s="44"/>
      <c r="O315" s="17"/>
      <c r="P315" s="3"/>
    </row>
    <row r="316" spans="2:21" ht="102" customHeight="1" thickBot="1" x14ac:dyDescent="0.35">
      <c r="B316" s="118">
        <v>302</v>
      </c>
      <c r="C316" s="119" t="s">
        <v>101</v>
      </c>
      <c r="D316" s="163" t="s">
        <v>118</v>
      </c>
      <c r="E316" s="112">
        <v>2026</v>
      </c>
      <c r="F316" s="164">
        <v>2026</v>
      </c>
      <c r="G316" s="112" t="s">
        <v>62</v>
      </c>
      <c r="H316" s="497">
        <f>I316+J316+K316+L316+M316</f>
        <v>210000</v>
      </c>
      <c r="I316" s="188">
        <f>SUM(I318:I320)</f>
        <v>0</v>
      </c>
      <c r="J316" s="498">
        <f>SUM(J318:J320)</f>
        <v>0</v>
      </c>
      <c r="K316" s="498">
        <v>210000</v>
      </c>
      <c r="L316" s="188">
        <f>SUM(L318:L320)</f>
        <v>0</v>
      </c>
      <c r="M316" s="499">
        <f>SUM(M318:M320)</f>
        <v>0</v>
      </c>
      <c r="N316" s="102">
        <v>185239.81</v>
      </c>
      <c r="O316" s="13"/>
      <c r="P316" s="97">
        <v>185239.81</v>
      </c>
    </row>
    <row r="317" spans="2:21" ht="40.049999999999997" customHeight="1" thickBot="1" x14ac:dyDescent="0.35">
      <c r="B317" s="118">
        <v>303</v>
      </c>
      <c r="C317" s="189" t="s">
        <v>0</v>
      </c>
      <c r="D317" s="190"/>
      <c r="E317" s="191"/>
      <c r="F317" s="127"/>
      <c r="G317" s="170"/>
      <c r="H317" s="216"/>
      <c r="I317" s="301"/>
      <c r="J317" s="500"/>
      <c r="K317" s="500"/>
      <c r="L317" s="289"/>
      <c r="M317" s="287"/>
      <c r="N317" s="103"/>
      <c r="O317" s="16"/>
    </row>
    <row r="318" spans="2:21" ht="40.049999999999997" customHeight="1" thickBot="1" x14ac:dyDescent="0.35">
      <c r="B318" s="118">
        <v>304</v>
      </c>
      <c r="C318" s="195" t="s">
        <v>1</v>
      </c>
      <c r="D318" s="196"/>
      <c r="E318" s="139"/>
      <c r="F318" s="134"/>
      <c r="G318" s="175"/>
      <c r="H318" s="291">
        <f>I318+J318+K318+L318+M318</f>
        <v>189000</v>
      </c>
      <c r="I318" s="197">
        <v>0</v>
      </c>
      <c r="J318" s="501">
        <v>0</v>
      </c>
      <c r="K318" s="501">
        <f>K316*90%</f>
        <v>189000</v>
      </c>
      <c r="L318" s="244">
        <v>0</v>
      </c>
      <c r="M318" s="254">
        <v>0</v>
      </c>
      <c r="N318" s="103">
        <f>N316*90%</f>
        <v>166715.829</v>
      </c>
      <c r="O318" s="17"/>
      <c r="P318" s="3">
        <f>(P316-P320)/100*91</f>
        <v>160139.815745</v>
      </c>
      <c r="Q318" s="23">
        <f>P316-P320</f>
        <v>175977.81949999998</v>
      </c>
    </row>
    <row r="319" spans="2:21" ht="40.049999999999997" customHeight="1" thickBot="1" x14ac:dyDescent="0.35">
      <c r="B319" s="118">
        <v>305</v>
      </c>
      <c r="C319" s="195" t="s">
        <v>2</v>
      </c>
      <c r="D319" s="196"/>
      <c r="E319" s="139"/>
      <c r="F319" s="134"/>
      <c r="G319" s="175"/>
      <c r="H319" s="291">
        <f>I319+J319+K319+L319+M319</f>
        <v>10500</v>
      </c>
      <c r="I319" s="197">
        <v>0</v>
      </c>
      <c r="J319" s="501">
        <v>0</v>
      </c>
      <c r="K319" s="501">
        <f>K316*5%</f>
        <v>10500</v>
      </c>
      <c r="L319" s="244">
        <v>0</v>
      </c>
      <c r="M319" s="254">
        <v>0</v>
      </c>
      <c r="N319" s="103">
        <f>N316-N318-N320</f>
        <v>9261.9904999999999</v>
      </c>
      <c r="O319" s="17"/>
      <c r="P319" s="3">
        <f>P316-P318-P320</f>
        <v>15838.003754999998</v>
      </c>
    </row>
    <row r="320" spans="2:21" ht="40.049999999999997" customHeight="1" thickBot="1" x14ac:dyDescent="0.35">
      <c r="B320" s="118">
        <v>306</v>
      </c>
      <c r="C320" s="229" t="s">
        <v>3</v>
      </c>
      <c r="D320" s="222"/>
      <c r="E320" s="335"/>
      <c r="F320" s="161"/>
      <c r="G320" s="181"/>
      <c r="H320" s="294">
        <f>I320+K320+L320+M320</f>
        <v>10500</v>
      </c>
      <c r="I320" s="336">
        <v>0</v>
      </c>
      <c r="J320" s="502">
        <v>0</v>
      </c>
      <c r="K320" s="502">
        <f>K316*5%</f>
        <v>10500</v>
      </c>
      <c r="L320" s="303">
        <v>0</v>
      </c>
      <c r="M320" s="279">
        <v>0</v>
      </c>
      <c r="N320" s="103">
        <f>N316*5%</f>
        <v>9261.9904999999999</v>
      </c>
      <c r="O320" s="17"/>
      <c r="P320" s="3">
        <f>P316/100*5</f>
        <v>9261.9904999999999</v>
      </c>
    </row>
    <row r="321" spans="1:23" s="98" customFormat="1" ht="142.19999999999999" customHeight="1" thickBot="1" x14ac:dyDescent="0.35">
      <c r="B321" s="118">
        <v>307</v>
      </c>
      <c r="C321" s="119" t="s">
        <v>102</v>
      </c>
      <c r="D321" s="163" t="s">
        <v>118</v>
      </c>
      <c r="E321" s="112">
        <v>2027</v>
      </c>
      <c r="F321" s="164">
        <v>2027</v>
      </c>
      <c r="G321" s="112" t="s">
        <v>28</v>
      </c>
      <c r="H321" s="462">
        <f>I321+J321+K321+L321+M321</f>
        <v>3030</v>
      </c>
      <c r="I321" s="208">
        <f>SUM(I323:I325)</f>
        <v>0</v>
      </c>
      <c r="J321" s="208">
        <f>SUM(J323:J325)</f>
        <v>0</v>
      </c>
      <c r="K321" s="188">
        <f>SUM(K323:K325)</f>
        <v>0</v>
      </c>
      <c r="L321" s="188">
        <f>SUM(L323:L325)</f>
        <v>3030</v>
      </c>
      <c r="M321" s="208">
        <f>SUM(M323:M325)</f>
        <v>0</v>
      </c>
      <c r="N321" s="10"/>
      <c r="O321" s="13"/>
      <c r="P321" s="97"/>
      <c r="Q321" s="97"/>
      <c r="R321" s="97"/>
      <c r="S321" s="97"/>
      <c r="T321" s="97"/>
      <c r="U321" s="97"/>
    </row>
    <row r="322" spans="1:23" ht="40.049999999999997" customHeight="1" thickBot="1" x14ac:dyDescent="0.35">
      <c r="B322" s="118">
        <v>308</v>
      </c>
      <c r="C322" s="226" t="s">
        <v>0</v>
      </c>
      <c r="D322" s="227"/>
      <c r="E322" s="127"/>
      <c r="F322" s="228"/>
      <c r="G322" s="127"/>
      <c r="H322" s="343"/>
      <c r="I322" s="211"/>
      <c r="J322" s="503"/>
      <c r="K322" s="289"/>
      <c r="L322" s="503"/>
      <c r="M322" s="211"/>
      <c r="N322" s="50"/>
      <c r="O322" s="16"/>
    </row>
    <row r="323" spans="1:23" ht="40.049999999999997" customHeight="1" thickBot="1" x14ac:dyDescent="0.35">
      <c r="B323" s="118">
        <v>309</v>
      </c>
      <c r="C323" s="195" t="s">
        <v>1</v>
      </c>
      <c r="D323" s="196"/>
      <c r="E323" s="134"/>
      <c r="F323" s="175"/>
      <c r="G323" s="134"/>
      <c r="H323" s="136">
        <f>I323+J323+K323+L323+M323</f>
        <v>0</v>
      </c>
      <c r="I323" s="176">
        <v>0</v>
      </c>
      <c r="J323" s="485">
        <v>0</v>
      </c>
      <c r="K323" s="244">
        <v>0</v>
      </c>
      <c r="L323" s="485">
        <v>0</v>
      </c>
      <c r="M323" s="176">
        <v>0</v>
      </c>
      <c r="N323" s="44"/>
      <c r="O323" s="17"/>
      <c r="P323" s="3"/>
      <c r="Q323" s="23"/>
    </row>
    <row r="324" spans="1:23" ht="40.049999999999997" customHeight="1" thickBot="1" x14ac:dyDescent="0.35">
      <c r="B324" s="118">
        <v>310</v>
      </c>
      <c r="C324" s="195" t="s">
        <v>2</v>
      </c>
      <c r="D324" s="196"/>
      <c r="E324" s="134"/>
      <c r="F324" s="175"/>
      <c r="G324" s="134"/>
      <c r="H324" s="136">
        <f>I324+J324+K324+L324+M324</f>
        <v>0</v>
      </c>
      <c r="I324" s="176">
        <v>0</v>
      </c>
      <c r="J324" s="485">
        <v>0</v>
      </c>
      <c r="K324" s="244">
        <v>0</v>
      </c>
      <c r="L324" s="485">
        <v>0</v>
      </c>
      <c r="M324" s="176">
        <v>0</v>
      </c>
      <c r="N324" s="44"/>
      <c r="O324" s="17"/>
      <c r="P324" s="3"/>
    </row>
    <row r="325" spans="1:23" ht="40.049999999999997" customHeight="1" thickBot="1" x14ac:dyDescent="0.35">
      <c r="B325" s="118">
        <v>311</v>
      </c>
      <c r="C325" s="199" t="s">
        <v>3</v>
      </c>
      <c r="D325" s="200"/>
      <c r="E325" s="161"/>
      <c r="F325" s="202"/>
      <c r="G325" s="161"/>
      <c r="H325" s="140">
        <f>I325+J325+K325+L325+M325</f>
        <v>3030</v>
      </c>
      <c r="I325" s="184">
        <v>0</v>
      </c>
      <c r="J325" s="488">
        <v>0</v>
      </c>
      <c r="K325" s="303">
        <v>0</v>
      </c>
      <c r="L325" s="488">
        <v>3030</v>
      </c>
      <c r="M325" s="184">
        <v>0</v>
      </c>
      <c r="N325" s="44"/>
      <c r="O325" s="17"/>
      <c r="P325" s="3"/>
    </row>
    <row r="326" spans="1:23" ht="136.19999999999999" customHeight="1" thickBot="1" x14ac:dyDescent="0.35">
      <c r="B326" s="118">
        <v>312</v>
      </c>
      <c r="C326" s="119" t="s">
        <v>103</v>
      </c>
      <c r="D326" s="163" t="s">
        <v>118</v>
      </c>
      <c r="E326" s="112">
        <v>2028</v>
      </c>
      <c r="F326" s="112">
        <v>2028</v>
      </c>
      <c r="G326" s="112" t="s">
        <v>63</v>
      </c>
      <c r="H326" s="504">
        <f>I326+J326+K326+L326+M326</f>
        <v>265129.32999999996</v>
      </c>
      <c r="I326" s="208">
        <f>SUM(I328:I330)</f>
        <v>0</v>
      </c>
      <c r="J326" s="208">
        <f>SUM(J328:J330)</f>
        <v>0</v>
      </c>
      <c r="K326" s="188">
        <f>SUM(K328:K330)</f>
        <v>0</v>
      </c>
      <c r="L326" s="188">
        <f>SUM(L328:L330)</f>
        <v>0</v>
      </c>
      <c r="M326" s="505">
        <f>SUM(M328:M375)</f>
        <v>265129.32999999996</v>
      </c>
      <c r="N326" s="10"/>
      <c r="O326" s="13"/>
      <c r="P326" s="97">
        <v>265129.32</v>
      </c>
    </row>
    <row r="327" spans="1:23" ht="40.049999999999997" customHeight="1" thickBot="1" x14ac:dyDescent="0.35">
      <c r="B327" s="118">
        <v>313</v>
      </c>
      <c r="C327" s="189" t="s">
        <v>0</v>
      </c>
      <c r="D327" s="190"/>
      <c r="E327" s="127"/>
      <c r="F327" s="170"/>
      <c r="G327" s="127"/>
      <c r="H327" s="506"/>
      <c r="I327" s="173"/>
      <c r="J327" s="173"/>
      <c r="K327" s="289"/>
      <c r="L327" s="289"/>
      <c r="M327" s="507"/>
      <c r="N327" s="50"/>
      <c r="O327" s="16"/>
    </row>
    <row r="328" spans="1:23" ht="40.049999999999997" customHeight="1" thickBot="1" x14ac:dyDescent="0.35">
      <c r="B328" s="118">
        <v>314</v>
      </c>
      <c r="C328" s="195" t="s">
        <v>1</v>
      </c>
      <c r="D328" s="196"/>
      <c r="E328" s="134"/>
      <c r="F328" s="175"/>
      <c r="G328" s="134"/>
      <c r="H328" s="484">
        <f>I328+J328+K328+L328+M328</f>
        <v>229204.3</v>
      </c>
      <c r="I328" s="176">
        <v>0</v>
      </c>
      <c r="J328" s="176">
        <v>0</v>
      </c>
      <c r="K328" s="244">
        <v>0</v>
      </c>
      <c r="L328" s="244">
        <v>0</v>
      </c>
      <c r="M328" s="405">
        <v>229204.3</v>
      </c>
      <c r="N328" s="44"/>
      <c r="O328" s="17"/>
      <c r="P328" s="3">
        <f>(P326-P375)/100*91</f>
        <v>241267.68119999999</v>
      </c>
      <c r="Q328" s="23">
        <f>P326-P375</f>
        <v>265129.32</v>
      </c>
    </row>
    <row r="329" spans="1:23" ht="40.049999999999997" customHeight="1" thickBot="1" x14ac:dyDescent="0.35">
      <c r="B329" s="118">
        <v>315</v>
      </c>
      <c r="C329" s="229" t="s">
        <v>2</v>
      </c>
      <c r="D329" s="196"/>
      <c r="E329" s="134"/>
      <c r="F329" s="175"/>
      <c r="G329" s="134"/>
      <c r="H329" s="484">
        <f>I329+J329+K329+L329+M329</f>
        <v>22668.560000000001</v>
      </c>
      <c r="I329" s="176">
        <v>0</v>
      </c>
      <c r="J329" s="176">
        <v>0</v>
      </c>
      <c r="K329" s="244">
        <v>0</v>
      </c>
      <c r="L329" s="244">
        <v>0</v>
      </c>
      <c r="M329" s="405">
        <v>22668.560000000001</v>
      </c>
      <c r="N329" s="44"/>
      <c r="O329" s="17"/>
      <c r="P329" s="3">
        <f>P326-P328-P375</f>
        <v>23861.638800000015</v>
      </c>
    </row>
    <row r="330" spans="1:23" s="97" customFormat="1" ht="40.049999999999997" customHeight="1" thickBot="1" x14ac:dyDescent="0.35">
      <c r="A330" s="22"/>
      <c r="B330" s="118">
        <v>316</v>
      </c>
      <c r="C330" s="229" t="s">
        <v>3</v>
      </c>
      <c r="D330" s="222"/>
      <c r="E330" s="180"/>
      <c r="F330" s="181"/>
      <c r="G330" s="180"/>
      <c r="H330" s="508">
        <f>I330+J330+K330+L330+M330</f>
        <v>13256.47</v>
      </c>
      <c r="I330" s="184">
        <v>0</v>
      </c>
      <c r="J330" s="184">
        <v>0</v>
      </c>
      <c r="K330" s="303">
        <v>0</v>
      </c>
      <c r="L330" s="303">
        <v>0</v>
      </c>
      <c r="M330" s="509">
        <v>13256.47</v>
      </c>
      <c r="N330" s="44"/>
      <c r="O330" s="17"/>
      <c r="P330" s="3"/>
      <c r="V330" s="22"/>
      <c r="W330" s="22"/>
    </row>
    <row r="331" spans="1:23" s="97" customFormat="1" ht="165" customHeight="1" thickBot="1" x14ac:dyDescent="0.35">
      <c r="A331" s="22"/>
      <c r="B331" s="118">
        <v>317</v>
      </c>
      <c r="C331" s="119" t="s">
        <v>104</v>
      </c>
      <c r="D331" s="163" t="s">
        <v>118</v>
      </c>
      <c r="E331" s="476">
        <v>2024</v>
      </c>
      <c r="F331" s="164">
        <v>2024</v>
      </c>
      <c r="G331" s="112" t="s">
        <v>28</v>
      </c>
      <c r="H331" s="462">
        <f>I331+J331+K331+L331+M331</f>
        <v>1558</v>
      </c>
      <c r="I331" s="505">
        <f>SUM(I332:I335)</f>
        <v>1558</v>
      </c>
      <c r="J331" s="208">
        <f>SUM(J333:J335)</f>
        <v>0</v>
      </c>
      <c r="K331" s="188">
        <f>SUM(K333:K335)</f>
        <v>0</v>
      </c>
      <c r="L331" s="188">
        <f>SUM(L333:L335)</f>
        <v>0</v>
      </c>
      <c r="M331" s="208">
        <f>SUM(M333:M335)</f>
        <v>0</v>
      </c>
      <c r="N331" s="44"/>
      <c r="O331" s="17"/>
      <c r="P331" s="3"/>
      <c r="V331" s="22"/>
      <c r="W331" s="22"/>
    </row>
    <row r="332" spans="1:23" s="97" customFormat="1" ht="40.049999999999997" customHeight="1" thickBot="1" x14ac:dyDescent="0.35">
      <c r="A332" s="22"/>
      <c r="B332" s="118">
        <v>318</v>
      </c>
      <c r="C332" s="189" t="s">
        <v>0</v>
      </c>
      <c r="D332" s="407"/>
      <c r="E332" s="118"/>
      <c r="F332" s="127"/>
      <c r="G332" s="170"/>
      <c r="H332" s="343"/>
      <c r="I332" s="464"/>
      <c r="J332" s="173"/>
      <c r="K332" s="289"/>
      <c r="L332" s="289"/>
      <c r="M332" s="173"/>
      <c r="N332" s="44"/>
      <c r="O332" s="17"/>
      <c r="P332" s="3"/>
      <c r="V332" s="22"/>
      <c r="W332" s="22"/>
    </row>
    <row r="333" spans="1:23" s="97" customFormat="1" ht="40.049999999999997" customHeight="1" thickBot="1" x14ac:dyDescent="0.35">
      <c r="A333" s="22"/>
      <c r="B333" s="118">
        <v>319</v>
      </c>
      <c r="C333" s="195" t="s">
        <v>1</v>
      </c>
      <c r="D333" s="408"/>
      <c r="E333" s="180"/>
      <c r="F333" s="134"/>
      <c r="G333" s="175"/>
      <c r="H333" s="136">
        <f>I333+J333+K333+L333+M333</f>
        <v>0</v>
      </c>
      <c r="I333" s="177">
        <v>0</v>
      </c>
      <c r="J333" s="176">
        <v>0</v>
      </c>
      <c r="K333" s="244">
        <v>0</v>
      </c>
      <c r="L333" s="244">
        <v>0</v>
      </c>
      <c r="M333" s="176">
        <v>0</v>
      </c>
      <c r="N333" s="44"/>
      <c r="O333" s="17"/>
      <c r="P333" s="3"/>
      <c r="V333" s="22"/>
      <c r="W333" s="22"/>
    </row>
    <row r="334" spans="1:23" s="97" customFormat="1" ht="40.049999999999997" customHeight="1" thickBot="1" x14ac:dyDescent="0.35">
      <c r="A334" s="22"/>
      <c r="B334" s="118">
        <v>320</v>
      </c>
      <c r="C334" s="229" t="s">
        <v>2</v>
      </c>
      <c r="D334" s="408"/>
      <c r="E334" s="180"/>
      <c r="F334" s="134"/>
      <c r="G334" s="175"/>
      <c r="H334" s="136">
        <f>I334+J334+K334+L334+M334</f>
        <v>0</v>
      </c>
      <c r="I334" s="177">
        <v>0</v>
      </c>
      <c r="J334" s="176">
        <v>0</v>
      </c>
      <c r="K334" s="244">
        <v>0</v>
      </c>
      <c r="L334" s="244">
        <v>0</v>
      </c>
      <c r="M334" s="176">
        <v>0</v>
      </c>
      <c r="N334" s="44"/>
      <c r="O334" s="17"/>
      <c r="P334" s="3"/>
      <c r="V334" s="22"/>
      <c r="W334" s="22"/>
    </row>
    <row r="335" spans="1:23" s="97" customFormat="1" ht="40.049999999999997" customHeight="1" thickBot="1" x14ac:dyDescent="0.35">
      <c r="A335" s="22"/>
      <c r="B335" s="118">
        <v>321</v>
      </c>
      <c r="C335" s="229" t="s">
        <v>3</v>
      </c>
      <c r="D335" s="408"/>
      <c r="E335" s="180"/>
      <c r="F335" s="180"/>
      <c r="G335" s="181"/>
      <c r="H335" s="467">
        <f>I335+J335+K335+L335+M335</f>
        <v>1558</v>
      </c>
      <c r="I335" s="510">
        <v>1558</v>
      </c>
      <c r="J335" s="184">
        <v>0</v>
      </c>
      <c r="K335" s="248">
        <v>0</v>
      </c>
      <c r="L335" s="248">
        <v>0</v>
      </c>
      <c r="M335" s="184">
        <v>0</v>
      </c>
      <c r="N335" s="44"/>
      <c r="O335" s="17"/>
      <c r="P335" s="3"/>
      <c r="V335" s="22"/>
      <c r="W335" s="22"/>
    </row>
    <row r="336" spans="1:23" s="97" customFormat="1" ht="131.4" customHeight="1" thickBot="1" x14ac:dyDescent="0.35">
      <c r="A336" s="22"/>
      <c r="B336" s="118">
        <v>322</v>
      </c>
      <c r="C336" s="249" t="s">
        <v>169</v>
      </c>
      <c r="D336" s="163" t="s">
        <v>118</v>
      </c>
      <c r="E336" s="112">
        <v>2026</v>
      </c>
      <c r="F336" s="112">
        <v>2026</v>
      </c>
      <c r="G336" s="143" t="s">
        <v>28</v>
      </c>
      <c r="H336" s="214">
        <f>I336+J336+K336+L336+M336</f>
        <v>180000</v>
      </c>
      <c r="I336" s="511">
        <v>0</v>
      </c>
      <c r="J336" s="316">
        <v>0</v>
      </c>
      <c r="K336" s="511">
        <v>180000</v>
      </c>
      <c r="L336" s="316">
        <v>0</v>
      </c>
      <c r="M336" s="512">
        <v>0</v>
      </c>
      <c r="N336" s="44"/>
      <c r="O336" s="17"/>
      <c r="P336" s="3"/>
      <c r="V336" s="22"/>
      <c r="W336" s="22"/>
    </row>
    <row r="337" spans="1:23" s="97" customFormat="1" ht="40.049999999999997" customHeight="1" thickBot="1" x14ac:dyDescent="0.35">
      <c r="A337" s="22"/>
      <c r="B337" s="118">
        <v>323</v>
      </c>
      <c r="C337" s="125" t="s">
        <v>0</v>
      </c>
      <c r="D337" s="168"/>
      <c r="E337" s="169"/>
      <c r="F337" s="169"/>
      <c r="G337" s="170"/>
      <c r="H337" s="424"/>
      <c r="I337" s="513"/>
      <c r="J337" s="193"/>
      <c r="K337" s="513"/>
      <c r="L337" s="193"/>
      <c r="M337" s="241"/>
      <c r="N337" s="44"/>
      <c r="O337" s="17"/>
      <c r="P337" s="3"/>
      <c r="V337" s="22"/>
      <c r="W337" s="22"/>
    </row>
    <row r="338" spans="1:23" s="97" customFormat="1" ht="40.049999999999997" customHeight="1" thickBot="1" x14ac:dyDescent="0.35">
      <c r="A338" s="22"/>
      <c r="B338" s="118">
        <v>324</v>
      </c>
      <c r="C338" s="132" t="s">
        <v>1</v>
      </c>
      <c r="D338" s="156"/>
      <c r="E338" s="134"/>
      <c r="F338" s="134"/>
      <c r="G338" s="175"/>
      <c r="H338" s="291">
        <f>I338+J338+K338+L338+M338</f>
        <v>162000</v>
      </c>
      <c r="I338" s="292">
        <v>0</v>
      </c>
      <c r="J338" s="197">
        <v>0</v>
      </c>
      <c r="K338" s="292">
        <f>K336*90%</f>
        <v>162000</v>
      </c>
      <c r="L338" s="197">
        <v>0</v>
      </c>
      <c r="M338" s="244">
        <v>0</v>
      </c>
      <c r="N338" s="44"/>
      <c r="O338" s="17"/>
      <c r="P338" s="3"/>
      <c r="V338" s="22"/>
      <c r="W338" s="22"/>
    </row>
    <row r="339" spans="1:23" s="97" customFormat="1" ht="40.049999999999997" customHeight="1" thickBot="1" x14ac:dyDescent="0.35">
      <c r="A339" s="22"/>
      <c r="B339" s="118">
        <v>325</v>
      </c>
      <c r="C339" s="221" t="s">
        <v>2</v>
      </c>
      <c r="D339" s="156"/>
      <c r="E339" s="134"/>
      <c r="F339" s="134"/>
      <c r="G339" s="175"/>
      <c r="H339" s="291">
        <f>I339+J339+K339+L339+M339</f>
        <v>9000</v>
      </c>
      <c r="I339" s="292">
        <v>0</v>
      </c>
      <c r="J339" s="197">
        <v>0</v>
      </c>
      <c r="K339" s="292">
        <f>K336*5%</f>
        <v>9000</v>
      </c>
      <c r="L339" s="197">
        <v>0</v>
      </c>
      <c r="M339" s="244">
        <v>0</v>
      </c>
      <c r="N339" s="44"/>
      <c r="O339" s="17"/>
      <c r="P339" s="3"/>
      <c r="V339" s="22"/>
      <c r="W339" s="22"/>
    </row>
    <row r="340" spans="1:23" s="97" customFormat="1" ht="40.049999999999997" customHeight="1" thickBot="1" x14ac:dyDescent="0.35">
      <c r="A340" s="22"/>
      <c r="B340" s="118">
        <v>326</v>
      </c>
      <c r="C340" s="159" t="s">
        <v>3</v>
      </c>
      <c r="D340" s="160"/>
      <c r="E340" s="161"/>
      <c r="F340" s="161"/>
      <c r="G340" s="202"/>
      <c r="H340" s="294">
        <f>I340+J340+K340+L340+M340</f>
        <v>9000</v>
      </c>
      <c r="I340" s="304">
        <v>0</v>
      </c>
      <c r="J340" s="203">
        <v>0</v>
      </c>
      <c r="K340" s="304">
        <f>K336*5%</f>
        <v>9000</v>
      </c>
      <c r="L340" s="203">
        <v>0</v>
      </c>
      <c r="M340" s="303">
        <v>0</v>
      </c>
      <c r="N340" s="44"/>
      <c r="O340" s="17"/>
      <c r="P340" s="3"/>
      <c r="V340" s="22"/>
      <c r="W340" s="22"/>
    </row>
    <row r="341" spans="1:23" s="97" customFormat="1" ht="172.8" customHeight="1" thickBot="1" x14ac:dyDescent="0.35">
      <c r="A341" s="22"/>
      <c r="B341" s="118">
        <v>327</v>
      </c>
      <c r="C341" s="311" t="s">
        <v>170</v>
      </c>
      <c r="D341" s="514" t="s">
        <v>118</v>
      </c>
      <c r="E341" s="259">
        <v>2024</v>
      </c>
      <c r="F341" s="260">
        <v>2024</v>
      </c>
      <c r="G341" s="259" t="s">
        <v>28</v>
      </c>
      <c r="H341" s="515">
        <f>I341+J341+K341+L341+M341</f>
        <v>2300</v>
      </c>
      <c r="I341" s="516">
        <f>SUM(I342:I345)</f>
        <v>2300</v>
      </c>
      <c r="J341" s="262">
        <f>SUM(J343:J345)</f>
        <v>0</v>
      </c>
      <c r="K341" s="397">
        <f>SUM(K343:K345)</f>
        <v>0</v>
      </c>
      <c r="L341" s="397">
        <f>SUM(L343:L345)</f>
        <v>0</v>
      </c>
      <c r="M341" s="262">
        <f>SUM(M343:M345)</f>
        <v>0</v>
      </c>
      <c r="N341" s="44"/>
      <c r="O341" s="17"/>
      <c r="P341" s="3"/>
      <c r="V341" s="22"/>
      <c r="W341" s="22"/>
    </row>
    <row r="342" spans="1:23" s="97" customFormat="1" ht="40.049999999999997" customHeight="1" thickBot="1" x14ac:dyDescent="0.35">
      <c r="A342" s="22"/>
      <c r="B342" s="118">
        <v>328</v>
      </c>
      <c r="C342" s="189" t="s">
        <v>0</v>
      </c>
      <c r="D342" s="517"/>
      <c r="E342" s="127"/>
      <c r="F342" s="518"/>
      <c r="G342" s="170"/>
      <c r="H342" s="343"/>
      <c r="I342" s="464"/>
      <c r="J342" s="173"/>
      <c r="K342" s="289"/>
      <c r="L342" s="289"/>
      <c r="M342" s="173"/>
      <c r="N342" s="44"/>
      <c r="O342" s="17"/>
      <c r="P342" s="3"/>
      <c r="V342" s="22"/>
      <c r="W342" s="22"/>
    </row>
    <row r="343" spans="1:23" s="97" customFormat="1" ht="40.049999999999997" customHeight="1" thickBot="1" x14ac:dyDescent="0.35">
      <c r="A343" s="22"/>
      <c r="B343" s="118">
        <v>329</v>
      </c>
      <c r="C343" s="195" t="s">
        <v>1</v>
      </c>
      <c r="D343" s="222"/>
      <c r="E343" s="315"/>
      <c r="F343" s="519"/>
      <c r="G343" s="175"/>
      <c r="H343" s="136">
        <f>I343+J343+K343+L343+M343</f>
        <v>0</v>
      </c>
      <c r="I343" s="176">
        <v>0</v>
      </c>
      <c r="J343" s="176">
        <v>0</v>
      </c>
      <c r="K343" s="244">
        <v>0</v>
      </c>
      <c r="L343" s="244">
        <v>0</v>
      </c>
      <c r="M343" s="176">
        <v>0</v>
      </c>
      <c r="N343" s="44"/>
      <c r="O343" s="17"/>
      <c r="P343" s="3"/>
      <c r="V343" s="22"/>
      <c r="W343" s="22"/>
    </row>
    <row r="344" spans="1:23" s="97" customFormat="1" ht="40.049999999999997" customHeight="1" thickBot="1" x14ac:dyDescent="0.35">
      <c r="A344" s="22"/>
      <c r="B344" s="118">
        <v>330</v>
      </c>
      <c r="C344" s="229" t="s">
        <v>2</v>
      </c>
      <c r="D344" s="222"/>
      <c r="E344" s="180"/>
      <c r="F344" s="519"/>
      <c r="G344" s="175"/>
      <c r="H344" s="136">
        <f>I344+J344+K344+L344+M344</f>
        <v>0</v>
      </c>
      <c r="I344" s="176">
        <v>0</v>
      </c>
      <c r="J344" s="176">
        <v>0</v>
      </c>
      <c r="K344" s="244">
        <v>0</v>
      </c>
      <c r="L344" s="244">
        <v>0</v>
      </c>
      <c r="M344" s="176">
        <v>0</v>
      </c>
      <c r="N344" s="44"/>
      <c r="O344" s="17"/>
      <c r="P344" s="3"/>
      <c r="V344" s="22"/>
      <c r="W344" s="22"/>
    </row>
    <row r="345" spans="1:23" s="97" customFormat="1" ht="40.049999999999997" customHeight="1" thickBot="1" x14ac:dyDescent="0.35">
      <c r="A345" s="22"/>
      <c r="B345" s="118">
        <v>331</v>
      </c>
      <c r="C345" s="229" t="s">
        <v>3</v>
      </c>
      <c r="D345" s="222"/>
      <c r="E345" s="180"/>
      <c r="F345" s="520"/>
      <c r="G345" s="181"/>
      <c r="H345" s="467">
        <f>I345+J345+K345+L345+M345</f>
        <v>2300</v>
      </c>
      <c r="I345" s="510">
        <v>2300</v>
      </c>
      <c r="J345" s="184">
        <v>0</v>
      </c>
      <c r="K345" s="248">
        <v>0</v>
      </c>
      <c r="L345" s="248">
        <v>0</v>
      </c>
      <c r="M345" s="184">
        <v>0</v>
      </c>
      <c r="N345" s="44"/>
      <c r="O345" s="17"/>
      <c r="P345" s="3"/>
      <c r="V345" s="22"/>
      <c r="W345" s="22"/>
    </row>
    <row r="346" spans="1:23" s="97" customFormat="1" ht="165.6" customHeight="1" thickBot="1" x14ac:dyDescent="0.35">
      <c r="A346" s="22"/>
      <c r="B346" s="118">
        <v>332</v>
      </c>
      <c r="C346" s="521" t="s">
        <v>171</v>
      </c>
      <c r="D346" s="522" t="s">
        <v>118</v>
      </c>
      <c r="E346" s="340">
        <v>2026</v>
      </c>
      <c r="F346" s="341">
        <v>2026</v>
      </c>
      <c r="G346" s="112" t="s">
        <v>28</v>
      </c>
      <c r="H346" s="523">
        <f>I346+J346+K346+L346+M346</f>
        <v>210000</v>
      </c>
      <c r="I346" s="524">
        <v>0</v>
      </c>
      <c r="J346" s="525">
        <v>0</v>
      </c>
      <c r="K346" s="524">
        <v>210000</v>
      </c>
      <c r="L346" s="525">
        <v>0</v>
      </c>
      <c r="M346" s="524">
        <v>0</v>
      </c>
      <c r="N346" s="44"/>
      <c r="O346" s="17"/>
      <c r="P346" s="3"/>
      <c r="V346" s="22"/>
      <c r="W346" s="22"/>
    </row>
    <row r="347" spans="1:23" s="97" customFormat="1" ht="40.049999999999997" customHeight="1" thickBot="1" x14ac:dyDescent="0.35">
      <c r="A347" s="22"/>
      <c r="B347" s="118">
        <v>333</v>
      </c>
      <c r="C347" s="125" t="s">
        <v>0</v>
      </c>
      <c r="D347" s="299"/>
      <c r="E347" s="127"/>
      <c r="F347" s="228"/>
      <c r="G347" s="127"/>
      <c r="H347" s="455"/>
      <c r="I347" s="301"/>
      <c r="J347" s="286"/>
      <c r="K347" s="301"/>
      <c r="L347" s="286"/>
      <c r="M347" s="301"/>
      <c r="N347" s="44"/>
      <c r="O347" s="17"/>
      <c r="P347" s="3"/>
      <c r="V347" s="22"/>
      <c r="W347" s="22"/>
    </row>
    <row r="348" spans="1:23" s="97" customFormat="1" ht="40.049999999999997" customHeight="1" thickBot="1" x14ac:dyDescent="0.35">
      <c r="A348" s="22"/>
      <c r="B348" s="118">
        <v>334</v>
      </c>
      <c r="C348" s="132" t="s">
        <v>1</v>
      </c>
      <c r="D348" s="242"/>
      <c r="E348" s="134"/>
      <c r="F348" s="175"/>
      <c r="G348" s="134"/>
      <c r="H348" s="456">
        <f>I348+J348+K348+L348+M348</f>
        <v>189000</v>
      </c>
      <c r="I348" s="197">
        <v>0</v>
      </c>
      <c r="J348" s="292">
        <v>0</v>
      </c>
      <c r="K348" s="197">
        <v>189000</v>
      </c>
      <c r="L348" s="292">
        <v>0</v>
      </c>
      <c r="M348" s="197">
        <v>0</v>
      </c>
      <c r="N348" s="44"/>
      <c r="O348" s="17"/>
      <c r="P348" s="3"/>
      <c r="V348" s="22"/>
      <c r="W348" s="22"/>
    </row>
    <row r="349" spans="1:23" s="97" customFormat="1" ht="40.049999999999997" customHeight="1" thickBot="1" x14ac:dyDescent="0.35">
      <c r="A349" s="22"/>
      <c r="B349" s="118">
        <v>335</v>
      </c>
      <c r="C349" s="221" t="s">
        <v>2</v>
      </c>
      <c r="D349" s="242"/>
      <c r="E349" s="134"/>
      <c r="F349" s="175"/>
      <c r="G349" s="134"/>
      <c r="H349" s="456">
        <f>I349+J349+K349+L349+M349</f>
        <v>10500</v>
      </c>
      <c r="I349" s="197">
        <v>0</v>
      </c>
      <c r="J349" s="292">
        <v>0</v>
      </c>
      <c r="K349" s="197">
        <v>10500</v>
      </c>
      <c r="L349" s="292">
        <v>0</v>
      </c>
      <c r="M349" s="197">
        <v>0</v>
      </c>
      <c r="N349" s="44"/>
      <c r="O349" s="17"/>
      <c r="P349" s="3"/>
      <c r="V349" s="22"/>
      <c r="W349" s="22"/>
    </row>
    <row r="350" spans="1:23" s="97" customFormat="1" ht="45.6" customHeight="1" thickBot="1" x14ac:dyDescent="0.35">
      <c r="A350" s="22"/>
      <c r="B350" s="118">
        <v>336</v>
      </c>
      <c r="C350" s="159" t="s">
        <v>3</v>
      </c>
      <c r="D350" s="302"/>
      <c r="E350" s="161"/>
      <c r="F350" s="202"/>
      <c r="G350" s="161"/>
      <c r="H350" s="526">
        <f>I350+J350+K350+L350+M350</f>
        <v>10500</v>
      </c>
      <c r="I350" s="203">
        <v>0</v>
      </c>
      <c r="J350" s="304">
        <v>0</v>
      </c>
      <c r="K350" s="203">
        <v>10500</v>
      </c>
      <c r="L350" s="304">
        <v>0</v>
      </c>
      <c r="M350" s="203">
        <v>0</v>
      </c>
      <c r="N350" s="44"/>
      <c r="O350" s="17"/>
      <c r="P350" s="3"/>
      <c r="V350" s="22"/>
      <c r="W350" s="22"/>
    </row>
    <row r="351" spans="1:23" s="97" customFormat="1" ht="168" customHeight="1" thickBot="1" x14ac:dyDescent="0.35">
      <c r="A351" s="22"/>
      <c r="B351" s="118">
        <v>337</v>
      </c>
      <c r="C351" s="311" t="s">
        <v>172</v>
      </c>
      <c r="D351" s="514" t="s">
        <v>118</v>
      </c>
      <c r="E351" s="259">
        <v>2024</v>
      </c>
      <c r="F351" s="260">
        <v>2024</v>
      </c>
      <c r="G351" s="259" t="s">
        <v>28</v>
      </c>
      <c r="H351" s="515">
        <f>I351+J351+K351+L351+M351</f>
        <v>1950</v>
      </c>
      <c r="I351" s="516">
        <f>SUM(I352:I355)</f>
        <v>1950</v>
      </c>
      <c r="J351" s="262">
        <f>SUM(J353:J355)</f>
        <v>0</v>
      </c>
      <c r="K351" s="397">
        <f>SUM(K353:K355)</f>
        <v>0</v>
      </c>
      <c r="L351" s="397">
        <f>SUM(L353:L355)</f>
        <v>0</v>
      </c>
      <c r="M351" s="262">
        <f>SUM(M353:M355)</f>
        <v>0</v>
      </c>
      <c r="N351" s="44"/>
      <c r="O351" s="17"/>
      <c r="P351" s="3"/>
      <c r="V351" s="22"/>
      <c r="W351" s="22"/>
    </row>
    <row r="352" spans="1:23" s="97" customFormat="1" ht="40.049999999999997" customHeight="1" thickBot="1" x14ac:dyDescent="0.35">
      <c r="A352" s="22"/>
      <c r="B352" s="118">
        <v>338</v>
      </c>
      <c r="C352" s="189" t="s">
        <v>0</v>
      </c>
      <c r="D352" s="517"/>
      <c r="E352" s="118"/>
      <c r="F352" s="127"/>
      <c r="G352" s="127"/>
      <c r="H352" s="343"/>
      <c r="I352" s="464"/>
      <c r="J352" s="173"/>
      <c r="K352" s="289"/>
      <c r="L352" s="289"/>
      <c r="M352" s="173"/>
      <c r="N352" s="44"/>
      <c r="O352" s="17"/>
      <c r="P352" s="3"/>
      <c r="V352" s="22"/>
      <c r="W352" s="22"/>
    </row>
    <row r="353" spans="1:23" s="97" customFormat="1" ht="40.049999999999997" customHeight="1" thickBot="1" x14ac:dyDescent="0.35">
      <c r="A353" s="22"/>
      <c r="B353" s="118">
        <v>339</v>
      </c>
      <c r="C353" s="195" t="s">
        <v>1</v>
      </c>
      <c r="D353" s="222"/>
      <c r="E353" s="180"/>
      <c r="F353" s="134"/>
      <c r="G353" s="134"/>
      <c r="H353" s="136">
        <f>I353+J353+K353+L353+M353</f>
        <v>0</v>
      </c>
      <c r="I353" s="177">
        <v>0</v>
      </c>
      <c r="J353" s="176">
        <v>0</v>
      </c>
      <c r="K353" s="244">
        <v>0</v>
      </c>
      <c r="L353" s="244">
        <v>0</v>
      </c>
      <c r="M353" s="176">
        <v>0</v>
      </c>
      <c r="N353" s="44"/>
      <c r="O353" s="17"/>
      <c r="P353" s="3"/>
      <c r="V353" s="22"/>
      <c r="W353" s="22"/>
    </row>
    <row r="354" spans="1:23" s="97" customFormat="1" ht="40.049999999999997" customHeight="1" thickBot="1" x14ac:dyDescent="0.35">
      <c r="A354" s="22"/>
      <c r="B354" s="118">
        <v>340</v>
      </c>
      <c r="C354" s="229" t="s">
        <v>2</v>
      </c>
      <c r="D354" s="222"/>
      <c r="E354" s="180"/>
      <c r="F354" s="134"/>
      <c r="G354" s="134"/>
      <c r="H354" s="136">
        <f>I354+J354+K354+L354+M354</f>
        <v>0</v>
      </c>
      <c r="I354" s="177">
        <v>0</v>
      </c>
      <c r="J354" s="176">
        <v>0</v>
      </c>
      <c r="K354" s="244">
        <v>0</v>
      </c>
      <c r="L354" s="244">
        <v>0</v>
      </c>
      <c r="M354" s="176">
        <v>0</v>
      </c>
      <c r="N354" s="44"/>
      <c r="O354" s="17"/>
      <c r="P354" s="3"/>
      <c r="V354" s="22"/>
      <c r="W354" s="22"/>
    </row>
    <row r="355" spans="1:23" s="97" customFormat="1" ht="40.049999999999997" customHeight="1" thickBot="1" x14ac:dyDescent="0.35">
      <c r="A355" s="22"/>
      <c r="B355" s="118">
        <v>341</v>
      </c>
      <c r="C355" s="229" t="s">
        <v>3</v>
      </c>
      <c r="D355" s="222"/>
      <c r="E355" s="180"/>
      <c r="F355" s="180"/>
      <c r="G355" s="180"/>
      <c r="H355" s="467">
        <f>I355+J355+K355+L355+M355</f>
        <v>1950</v>
      </c>
      <c r="I355" s="510">
        <v>1950</v>
      </c>
      <c r="J355" s="184">
        <v>0</v>
      </c>
      <c r="K355" s="248">
        <v>0</v>
      </c>
      <c r="L355" s="248">
        <v>0</v>
      </c>
      <c r="M355" s="184">
        <v>0</v>
      </c>
      <c r="N355" s="44"/>
      <c r="O355" s="17"/>
      <c r="P355" s="3"/>
      <c r="V355" s="22"/>
      <c r="W355" s="22"/>
    </row>
    <row r="356" spans="1:23" s="97" customFormat="1" ht="135.6" customHeight="1" thickBot="1" x14ac:dyDescent="0.35">
      <c r="A356" s="22"/>
      <c r="B356" s="118">
        <v>342</v>
      </c>
      <c r="C356" s="249" t="s">
        <v>173</v>
      </c>
      <c r="D356" s="163" t="s">
        <v>118</v>
      </c>
      <c r="E356" s="112">
        <v>2026</v>
      </c>
      <c r="F356" s="164">
        <v>2026</v>
      </c>
      <c r="G356" s="112" t="s">
        <v>28</v>
      </c>
      <c r="H356" s="214">
        <f>I356+J356+K356+L356+M356</f>
        <v>220000</v>
      </c>
      <c r="I356" s="511">
        <v>0</v>
      </c>
      <c r="J356" s="316">
        <v>0</v>
      </c>
      <c r="K356" s="511">
        <v>220000</v>
      </c>
      <c r="L356" s="316">
        <v>0</v>
      </c>
      <c r="M356" s="512">
        <v>0</v>
      </c>
      <c r="N356" s="44"/>
      <c r="O356" s="17"/>
      <c r="P356" s="3"/>
      <c r="V356" s="22"/>
      <c r="W356" s="22"/>
    </row>
    <row r="357" spans="1:23" s="97" customFormat="1" ht="40.049999999999997" customHeight="1" thickBot="1" x14ac:dyDescent="0.35">
      <c r="A357" s="22"/>
      <c r="B357" s="118">
        <v>343</v>
      </c>
      <c r="C357" s="125" t="s">
        <v>0</v>
      </c>
      <c r="D357" s="168"/>
      <c r="E357" s="169"/>
      <c r="F357" s="169"/>
      <c r="G357" s="170"/>
      <c r="H357" s="424"/>
      <c r="I357" s="513"/>
      <c r="J357" s="193"/>
      <c r="K357" s="513"/>
      <c r="L357" s="193"/>
      <c r="M357" s="241"/>
      <c r="N357" s="44"/>
      <c r="O357" s="17"/>
      <c r="P357" s="3"/>
      <c r="V357" s="22"/>
      <c r="W357" s="22"/>
    </row>
    <row r="358" spans="1:23" s="97" customFormat="1" ht="40.049999999999997" customHeight="1" thickBot="1" x14ac:dyDescent="0.35">
      <c r="A358" s="22"/>
      <c r="B358" s="118">
        <v>344</v>
      </c>
      <c r="C358" s="132" t="s">
        <v>1</v>
      </c>
      <c r="D358" s="156"/>
      <c r="E358" s="134"/>
      <c r="F358" s="134"/>
      <c r="G358" s="175"/>
      <c r="H358" s="291">
        <f>I358+J358+K358+L358+M358</f>
        <v>198000</v>
      </c>
      <c r="I358" s="292">
        <v>0</v>
      </c>
      <c r="J358" s="197">
        <v>0</v>
      </c>
      <c r="K358" s="292">
        <f>K356*90%</f>
        <v>198000</v>
      </c>
      <c r="L358" s="197">
        <v>0</v>
      </c>
      <c r="M358" s="244">
        <v>0</v>
      </c>
      <c r="N358" s="44"/>
      <c r="O358" s="17"/>
      <c r="P358" s="3"/>
      <c r="V358" s="22"/>
      <c r="W358" s="22"/>
    </row>
    <row r="359" spans="1:23" s="97" customFormat="1" ht="40.049999999999997" customHeight="1" thickBot="1" x14ac:dyDescent="0.35">
      <c r="A359" s="22"/>
      <c r="B359" s="118">
        <v>345</v>
      </c>
      <c r="C359" s="221" t="s">
        <v>2</v>
      </c>
      <c r="D359" s="156"/>
      <c r="E359" s="134"/>
      <c r="F359" s="134"/>
      <c r="G359" s="175"/>
      <c r="H359" s="291">
        <f>I359+J359+K359+L359+M359</f>
        <v>11000</v>
      </c>
      <c r="I359" s="292">
        <v>0</v>
      </c>
      <c r="J359" s="197">
        <v>0</v>
      </c>
      <c r="K359" s="292">
        <f>K356*5%</f>
        <v>11000</v>
      </c>
      <c r="L359" s="197">
        <v>0</v>
      </c>
      <c r="M359" s="244">
        <v>0</v>
      </c>
      <c r="N359" s="44"/>
      <c r="O359" s="17"/>
      <c r="P359" s="3"/>
      <c r="V359" s="22"/>
      <c r="W359" s="22"/>
    </row>
    <row r="360" spans="1:23" s="97" customFormat="1" ht="40.049999999999997" customHeight="1" thickBot="1" x14ac:dyDescent="0.35">
      <c r="A360" s="22"/>
      <c r="B360" s="118">
        <v>346</v>
      </c>
      <c r="C360" s="159" t="s">
        <v>3</v>
      </c>
      <c r="D360" s="160"/>
      <c r="E360" s="161"/>
      <c r="F360" s="161"/>
      <c r="G360" s="202"/>
      <c r="H360" s="294">
        <f>I360+J360+K360+L360+M360</f>
        <v>11000</v>
      </c>
      <c r="I360" s="304">
        <v>0</v>
      </c>
      <c r="J360" s="203">
        <v>0</v>
      </c>
      <c r="K360" s="292">
        <f>K356*5%</f>
        <v>11000</v>
      </c>
      <c r="L360" s="203">
        <v>0</v>
      </c>
      <c r="M360" s="303">
        <v>0</v>
      </c>
      <c r="N360" s="44"/>
      <c r="O360" s="17"/>
      <c r="P360" s="3"/>
      <c r="V360" s="22"/>
      <c r="W360" s="22"/>
    </row>
    <row r="361" spans="1:23" s="97" customFormat="1" ht="148.19999999999999" customHeight="1" thickBot="1" x14ac:dyDescent="0.35">
      <c r="A361" s="22"/>
      <c r="B361" s="118">
        <v>347</v>
      </c>
      <c r="C361" s="311" t="s">
        <v>174</v>
      </c>
      <c r="D361" s="514" t="s">
        <v>118</v>
      </c>
      <c r="E361" s="314">
        <v>2024</v>
      </c>
      <c r="F361" s="260">
        <v>2024</v>
      </c>
      <c r="G361" s="259" t="s">
        <v>28</v>
      </c>
      <c r="H361" s="527">
        <f>I361+J361+K361+L361+M361</f>
        <v>2300</v>
      </c>
      <c r="I361" s="528">
        <f>SUM(I362:I365)</f>
        <v>2300</v>
      </c>
      <c r="J361" s="262">
        <f>SUM(J363:J365)</f>
        <v>0</v>
      </c>
      <c r="K361" s="397">
        <f>SUM(K363:K365)</f>
        <v>0</v>
      </c>
      <c r="L361" s="397">
        <f>SUM(L363:L365)</f>
        <v>0</v>
      </c>
      <c r="M361" s="262">
        <f>SUM(M363:M365)</f>
        <v>0</v>
      </c>
      <c r="N361" s="44"/>
      <c r="O361" s="17"/>
      <c r="P361" s="3"/>
      <c r="V361" s="22"/>
      <c r="W361" s="22"/>
    </row>
    <row r="362" spans="1:23" s="97" customFormat="1" ht="40.049999999999997" customHeight="1" thickBot="1" x14ac:dyDescent="0.35">
      <c r="A362" s="22"/>
      <c r="B362" s="118">
        <v>348</v>
      </c>
      <c r="C362" s="125" t="s">
        <v>0</v>
      </c>
      <c r="D362" s="333"/>
      <c r="E362" s="127"/>
      <c r="F362" s="518"/>
      <c r="G362" s="127"/>
      <c r="H362" s="324"/>
      <c r="I362" s="325"/>
      <c r="J362" s="211"/>
      <c r="K362" s="289"/>
      <c r="L362" s="289"/>
      <c r="M362" s="211"/>
      <c r="N362" s="44"/>
      <c r="O362" s="17"/>
      <c r="P362" s="3"/>
      <c r="V362" s="22"/>
      <c r="W362" s="22"/>
    </row>
    <row r="363" spans="1:23" s="97" customFormat="1" ht="40.049999999999997" customHeight="1" thickBot="1" x14ac:dyDescent="0.35">
      <c r="A363" s="22"/>
      <c r="B363" s="118">
        <v>349</v>
      </c>
      <c r="C363" s="132" t="s">
        <v>1</v>
      </c>
      <c r="D363" s="222"/>
      <c r="E363" s="134"/>
      <c r="F363" s="519"/>
      <c r="G363" s="134"/>
      <c r="H363" s="529">
        <f>I363+J363+K363+L363+M363</f>
        <v>0</v>
      </c>
      <c r="I363" s="176">
        <v>0</v>
      </c>
      <c r="J363" s="176">
        <v>0</v>
      </c>
      <c r="K363" s="244">
        <v>0</v>
      </c>
      <c r="L363" s="244">
        <v>0</v>
      </c>
      <c r="M363" s="176">
        <v>0</v>
      </c>
      <c r="N363" s="44"/>
      <c r="O363" s="17"/>
      <c r="P363" s="3"/>
      <c r="V363" s="22"/>
      <c r="W363" s="22"/>
    </row>
    <row r="364" spans="1:23" s="97" customFormat="1" ht="40.049999999999997" customHeight="1" thickBot="1" x14ac:dyDescent="0.35">
      <c r="A364" s="22"/>
      <c r="B364" s="118">
        <v>350</v>
      </c>
      <c r="C364" s="221" t="s">
        <v>2</v>
      </c>
      <c r="D364" s="222"/>
      <c r="E364" s="134"/>
      <c r="F364" s="519"/>
      <c r="G364" s="134"/>
      <c r="H364" s="529">
        <f>I364+J364+K364+L364+M364</f>
        <v>0</v>
      </c>
      <c r="I364" s="176">
        <v>0</v>
      </c>
      <c r="J364" s="176">
        <v>0</v>
      </c>
      <c r="K364" s="244">
        <v>0</v>
      </c>
      <c r="L364" s="244">
        <v>0</v>
      </c>
      <c r="M364" s="176">
        <v>0</v>
      </c>
      <c r="N364" s="44"/>
      <c r="O364" s="17"/>
      <c r="P364" s="3"/>
      <c r="V364" s="22"/>
      <c r="W364" s="22"/>
    </row>
    <row r="365" spans="1:23" s="97" customFormat="1" ht="52.2" customHeight="1" thickBot="1" x14ac:dyDescent="0.35">
      <c r="A365" s="22"/>
      <c r="B365" s="118">
        <v>351</v>
      </c>
      <c r="C365" s="159" t="s">
        <v>3</v>
      </c>
      <c r="D365" s="200"/>
      <c r="E365" s="161"/>
      <c r="F365" s="530"/>
      <c r="G365" s="161"/>
      <c r="H365" s="470">
        <f>I365+J365+K365+L365+M365</f>
        <v>2300</v>
      </c>
      <c r="I365" s="402">
        <v>2300</v>
      </c>
      <c r="J365" s="212">
        <v>0</v>
      </c>
      <c r="K365" s="303">
        <v>0</v>
      </c>
      <c r="L365" s="303">
        <v>0</v>
      </c>
      <c r="M365" s="212">
        <v>0</v>
      </c>
      <c r="N365" s="44"/>
      <c r="O365" s="17"/>
      <c r="P365" s="3"/>
      <c r="V365" s="22"/>
      <c r="W365" s="22"/>
    </row>
    <row r="366" spans="1:23" s="97" customFormat="1" ht="118.2" customHeight="1" thickBot="1" x14ac:dyDescent="0.35">
      <c r="A366" s="22"/>
      <c r="B366" s="118">
        <v>352</v>
      </c>
      <c r="C366" s="531" t="s">
        <v>176</v>
      </c>
      <c r="D366" s="163" t="s">
        <v>118</v>
      </c>
      <c r="E366" s="112">
        <v>2026</v>
      </c>
      <c r="F366" s="164">
        <v>2026</v>
      </c>
      <c r="G366" s="112" t="s">
        <v>28</v>
      </c>
      <c r="H366" s="214">
        <f>I366+J366+K366+L366+M366</f>
        <v>220000</v>
      </c>
      <c r="I366" s="511">
        <v>0</v>
      </c>
      <c r="J366" s="316">
        <v>0</v>
      </c>
      <c r="K366" s="511">
        <v>220000</v>
      </c>
      <c r="L366" s="316">
        <v>0</v>
      </c>
      <c r="M366" s="512">
        <v>0</v>
      </c>
      <c r="N366" s="44"/>
      <c r="O366" s="17"/>
      <c r="P366" s="3"/>
      <c r="V366" s="22"/>
      <c r="W366" s="22"/>
    </row>
    <row r="367" spans="1:23" s="97" customFormat="1" ht="40.049999999999997" customHeight="1" thickBot="1" x14ac:dyDescent="0.35">
      <c r="A367" s="22"/>
      <c r="B367" s="118">
        <v>353</v>
      </c>
      <c r="C367" s="125" t="s">
        <v>0</v>
      </c>
      <c r="D367" s="227"/>
      <c r="E367" s="127"/>
      <c r="F367" s="228"/>
      <c r="G367" s="127"/>
      <c r="H367" s="424"/>
      <c r="I367" s="513"/>
      <c r="J367" s="193"/>
      <c r="K367" s="301"/>
      <c r="L367" s="193"/>
      <c r="M367" s="241"/>
      <c r="N367" s="44"/>
      <c r="O367" s="17"/>
      <c r="P367" s="3"/>
      <c r="V367" s="22"/>
      <c r="W367" s="22"/>
    </row>
    <row r="368" spans="1:23" s="97" customFormat="1" ht="40.049999999999997" customHeight="1" thickBot="1" x14ac:dyDescent="0.35">
      <c r="A368" s="22"/>
      <c r="B368" s="118">
        <v>354</v>
      </c>
      <c r="C368" s="132" t="s">
        <v>1</v>
      </c>
      <c r="D368" s="196"/>
      <c r="E368" s="134"/>
      <c r="F368" s="175"/>
      <c r="G368" s="134"/>
      <c r="H368" s="291">
        <f>I368+J368+K368+L368+M368</f>
        <v>198000</v>
      </c>
      <c r="I368" s="292">
        <v>0</v>
      </c>
      <c r="J368" s="197">
        <v>0</v>
      </c>
      <c r="K368" s="197">
        <f>K366*90%</f>
        <v>198000</v>
      </c>
      <c r="L368" s="197">
        <v>0</v>
      </c>
      <c r="M368" s="244">
        <v>0</v>
      </c>
      <c r="N368" s="44"/>
      <c r="O368" s="17"/>
      <c r="P368" s="3"/>
      <c r="V368" s="22"/>
      <c r="W368" s="22"/>
    </row>
    <row r="369" spans="1:23" s="97" customFormat="1" ht="40.049999999999997" customHeight="1" thickBot="1" x14ac:dyDescent="0.35">
      <c r="A369" s="22"/>
      <c r="B369" s="118">
        <v>355</v>
      </c>
      <c r="C369" s="221" t="s">
        <v>2</v>
      </c>
      <c r="D369" s="196"/>
      <c r="E369" s="134"/>
      <c r="F369" s="175"/>
      <c r="G369" s="134"/>
      <c r="H369" s="291">
        <f>I369+J369+K369+L369+M369</f>
        <v>11000</v>
      </c>
      <c r="I369" s="292">
        <v>0</v>
      </c>
      <c r="J369" s="197">
        <v>0</v>
      </c>
      <c r="K369" s="197">
        <f>K366*5%</f>
        <v>11000</v>
      </c>
      <c r="L369" s="197">
        <v>0</v>
      </c>
      <c r="M369" s="244">
        <v>0</v>
      </c>
      <c r="N369" s="44"/>
      <c r="O369" s="17"/>
      <c r="P369" s="3"/>
      <c r="V369" s="22"/>
      <c r="W369" s="22"/>
    </row>
    <row r="370" spans="1:23" s="97" customFormat="1" ht="40.049999999999997" customHeight="1" thickBot="1" x14ac:dyDescent="0.35">
      <c r="A370" s="22"/>
      <c r="B370" s="118">
        <v>356</v>
      </c>
      <c r="C370" s="159" t="s">
        <v>3</v>
      </c>
      <c r="D370" s="200"/>
      <c r="E370" s="161"/>
      <c r="F370" s="202"/>
      <c r="G370" s="161"/>
      <c r="H370" s="294">
        <f>I370+J370+K370+L370+M370</f>
        <v>11000</v>
      </c>
      <c r="I370" s="304">
        <v>0</v>
      </c>
      <c r="J370" s="203">
        <v>0</v>
      </c>
      <c r="K370" s="203">
        <f>K366*5%</f>
        <v>11000</v>
      </c>
      <c r="L370" s="203">
        <v>0</v>
      </c>
      <c r="M370" s="303">
        <v>0</v>
      </c>
      <c r="N370" s="44"/>
      <c r="O370" s="17"/>
      <c r="P370" s="3"/>
      <c r="V370" s="22"/>
      <c r="W370" s="22"/>
    </row>
    <row r="371" spans="1:23" s="97" customFormat="1" ht="172.2" customHeight="1" thickBot="1" x14ac:dyDescent="0.35">
      <c r="A371" s="22"/>
      <c r="B371" s="118">
        <v>357</v>
      </c>
      <c r="C371" s="311" t="s">
        <v>175</v>
      </c>
      <c r="D371" s="514" t="s">
        <v>118</v>
      </c>
      <c r="E371" s="314">
        <v>2024</v>
      </c>
      <c r="F371" s="260">
        <v>2028</v>
      </c>
      <c r="G371" s="112" t="s">
        <v>28</v>
      </c>
      <c r="H371" s="532">
        <f>I371+J371+K371+L371+M371</f>
        <v>2300</v>
      </c>
      <c r="I371" s="533">
        <f>SUM(I372:I375)</f>
        <v>0</v>
      </c>
      <c r="J371" s="262">
        <f>SUM(J373:J375)</f>
        <v>2300</v>
      </c>
      <c r="K371" s="397">
        <f>SUM(K373:K375)</f>
        <v>0</v>
      </c>
      <c r="L371" s="397">
        <f>SUM(L373:L375)</f>
        <v>0</v>
      </c>
      <c r="M371" s="262">
        <f>SUM(M373:M375)</f>
        <v>0</v>
      </c>
      <c r="N371" s="44"/>
      <c r="O371" s="17"/>
      <c r="P371" s="3"/>
      <c r="V371" s="22"/>
      <c r="W371" s="22"/>
    </row>
    <row r="372" spans="1:23" s="97" customFormat="1" ht="40.049999999999997" customHeight="1" thickBot="1" x14ac:dyDescent="0.35">
      <c r="A372" s="22"/>
      <c r="B372" s="118">
        <v>358</v>
      </c>
      <c r="C372" s="189" t="s">
        <v>0</v>
      </c>
      <c r="D372" s="517"/>
      <c r="E372" s="127"/>
      <c r="F372" s="518"/>
      <c r="G372" s="170"/>
      <c r="H372" s="216"/>
      <c r="I372" s="513"/>
      <c r="J372" s="173"/>
      <c r="K372" s="289"/>
      <c r="L372" s="289"/>
      <c r="M372" s="173"/>
      <c r="N372" s="44"/>
      <c r="O372" s="17"/>
      <c r="P372" s="3"/>
      <c r="V372" s="22"/>
      <c r="W372" s="22"/>
    </row>
    <row r="373" spans="1:23" s="97" customFormat="1" ht="40.049999999999997" customHeight="1" thickBot="1" x14ac:dyDescent="0.35">
      <c r="A373" s="22"/>
      <c r="B373" s="118">
        <v>359</v>
      </c>
      <c r="C373" s="195" t="s">
        <v>1</v>
      </c>
      <c r="D373" s="222"/>
      <c r="E373" s="134"/>
      <c r="F373" s="519"/>
      <c r="G373" s="175"/>
      <c r="H373" s="291">
        <f>I373+J373+K373+L373+M373</f>
        <v>0</v>
      </c>
      <c r="I373" s="197">
        <v>0</v>
      </c>
      <c r="J373" s="176">
        <v>0</v>
      </c>
      <c r="K373" s="244">
        <v>0</v>
      </c>
      <c r="L373" s="244">
        <v>0</v>
      </c>
      <c r="M373" s="176">
        <v>0</v>
      </c>
      <c r="N373" s="44"/>
      <c r="O373" s="17"/>
      <c r="P373" s="3"/>
      <c r="V373" s="22"/>
      <c r="W373" s="22"/>
    </row>
    <row r="374" spans="1:23" s="97" customFormat="1" ht="40.049999999999997" customHeight="1" thickBot="1" x14ac:dyDescent="0.35">
      <c r="A374" s="22"/>
      <c r="B374" s="118">
        <v>360</v>
      </c>
      <c r="C374" s="229" t="s">
        <v>2</v>
      </c>
      <c r="D374" s="222"/>
      <c r="E374" s="134"/>
      <c r="F374" s="519"/>
      <c r="G374" s="175"/>
      <c r="H374" s="291">
        <f>I374+J374+K374+L374+M374</f>
        <v>0</v>
      </c>
      <c r="I374" s="197">
        <v>0</v>
      </c>
      <c r="J374" s="176">
        <v>0</v>
      </c>
      <c r="K374" s="244">
        <v>0</v>
      </c>
      <c r="L374" s="244">
        <v>0</v>
      </c>
      <c r="M374" s="176">
        <v>0</v>
      </c>
      <c r="N374" s="44"/>
      <c r="O374" s="17"/>
      <c r="P374" s="3"/>
      <c r="V374" s="22"/>
      <c r="W374" s="22"/>
    </row>
    <row r="375" spans="1:23" s="97" customFormat="1" ht="40.049999999999997" customHeight="1" thickBot="1" x14ac:dyDescent="0.35">
      <c r="A375" s="22"/>
      <c r="B375" s="118">
        <v>361</v>
      </c>
      <c r="C375" s="229" t="s">
        <v>3</v>
      </c>
      <c r="D375" s="222"/>
      <c r="E375" s="180"/>
      <c r="F375" s="520"/>
      <c r="G375" s="181"/>
      <c r="H375" s="347">
        <f>I375+J375+K375+L375+M375</f>
        <v>2300</v>
      </c>
      <c r="I375" s="295">
        <v>0</v>
      </c>
      <c r="J375" s="184">
        <v>2300</v>
      </c>
      <c r="K375" s="248">
        <v>0</v>
      </c>
      <c r="L375" s="248">
        <v>0</v>
      </c>
      <c r="M375" s="184">
        <v>0</v>
      </c>
      <c r="N375" s="46"/>
      <c r="O375" s="17"/>
      <c r="P375" s="3"/>
      <c r="V375" s="22"/>
      <c r="W375" s="22"/>
    </row>
    <row r="376" spans="1:23" s="97" customFormat="1" ht="210" customHeight="1" thickBot="1" x14ac:dyDescent="0.35">
      <c r="A376" s="22"/>
      <c r="B376" s="118">
        <v>362</v>
      </c>
      <c r="C376" s="534" t="s">
        <v>180</v>
      </c>
      <c r="D376" s="163" t="s">
        <v>118</v>
      </c>
      <c r="E376" s="112">
        <v>2024</v>
      </c>
      <c r="F376" s="449">
        <v>2028</v>
      </c>
      <c r="G376" s="112" t="s">
        <v>28</v>
      </c>
      <c r="H376" s="215">
        <f>I376+J376+K376+L376+M376</f>
        <v>2300</v>
      </c>
      <c r="I376" s="188">
        <f>SUM(I377:I380)</f>
        <v>0</v>
      </c>
      <c r="J376" s="232">
        <f>SUM(J378:J380)</f>
        <v>2300</v>
      </c>
      <c r="K376" s="188">
        <f>SUM(K378:K380)</f>
        <v>0</v>
      </c>
      <c r="L376" s="535">
        <f>SUM(L378:L380)</f>
        <v>0</v>
      </c>
      <c r="M376" s="208">
        <f>SUM(M378:M380)</f>
        <v>0</v>
      </c>
      <c r="N376" s="50"/>
      <c r="O376" s="18"/>
      <c r="P376" s="50"/>
      <c r="V376" s="22"/>
      <c r="W376" s="22"/>
    </row>
    <row r="377" spans="1:23" s="97" customFormat="1" ht="40.049999999999997" customHeight="1" thickBot="1" x14ac:dyDescent="0.35">
      <c r="A377" s="22"/>
      <c r="B377" s="118">
        <v>363</v>
      </c>
      <c r="C377" s="536" t="s">
        <v>0</v>
      </c>
      <c r="D377" s="153"/>
      <c r="E377" s="127"/>
      <c r="F377" s="127"/>
      <c r="G377" s="127"/>
      <c r="H377" s="216"/>
      <c r="I377" s="301"/>
      <c r="J377" s="211"/>
      <c r="K377" s="301"/>
      <c r="L377" s="301"/>
      <c r="M377" s="211"/>
      <c r="N377" s="50"/>
      <c r="O377" s="18"/>
      <c r="P377" s="50"/>
      <c r="V377" s="22"/>
      <c r="W377" s="22"/>
    </row>
    <row r="378" spans="1:23" s="97" customFormat="1" ht="40.049999999999997" customHeight="1" thickBot="1" x14ac:dyDescent="0.35">
      <c r="A378" s="22"/>
      <c r="B378" s="118">
        <v>364</v>
      </c>
      <c r="C378" s="537" t="s">
        <v>1</v>
      </c>
      <c r="D378" s="156"/>
      <c r="E378" s="134"/>
      <c r="F378" s="134"/>
      <c r="G378" s="134"/>
      <c r="H378" s="291">
        <f>I378+J378+K378+L378+M378</f>
        <v>0</v>
      </c>
      <c r="I378" s="197">
        <v>0</v>
      </c>
      <c r="J378" s="176">
        <v>0</v>
      </c>
      <c r="K378" s="197">
        <v>0</v>
      </c>
      <c r="L378" s="197">
        <v>0</v>
      </c>
      <c r="M378" s="176">
        <v>0</v>
      </c>
      <c r="N378" s="50"/>
      <c r="O378" s="18"/>
      <c r="P378" s="50"/>
      <c r="V378" s="22"/>
      <c r="W378" s="22"/>
    </row>
    <row r="379" spans="1:23" s="97" customFormat="1" ht="40.049999999999997" customHeight="1" thickBot="1" x14ac:dyDescent="0.35">
      <c r="A379" s="22"/>
      <c r="B379" s="118">
        <v>365</v>
      </c>
      <c r="C379" s="537" t="s">
        <v>2</v>
      </c>
      <c r="D379" s="156"/>
      <c r="E379" s="134"/>
      <c r="F379" s="134"/>
      <c r="G379" s="134"/>
      <c r="H379" s="291">
        <f>I379+J379+K379+L379+M379</f>
        <v>0</v>
      </c>
      <c r="I379" s="197">
        <v>0</v>
      </c>
      <c r="J379" s="176">
        <v>0</v>
      </c>
      <c r="K379" s="197">
        <v>0</v>
      </c>
      <c r="L379" s="197">
        <v>0</v>
      </c>
      <c r="M379" s="176">
        <v>0</v>
      </c>
      <c r="N379" s="50"/>
      <c r="O379" s="18"/>
      <c r="P379" s="50"/>
      <c r="V379" s="22"/>
      <c r="W379" s="22"/>
    </row>
    <row r="380" spans="1:23" s="97" customFormat="1" ht="40.049999999999997" customHeight="1" thickBot="1" x14ac:dyDescent="0.35">
      <c r="A380" s="22"/>
      <c r="B380" s="118">
        <v>366</v>
      </c>
      <c r="C380" s="538" t="s">
        <v>3</v>
      </c>
      <c r="D380" s="408"/>
      <c r="E380" s="180"/>
      <c r="F380" s="180"/>
      <c r="G380" s="180"/>
      <c r="H380" s="347">
        <f>I380+J380+K380+L380+M380</f>
        <v>2300</v>
      </c>
      <c r="I380" s="336">
        <v>0</v>
      </c>
      <c r="J380" s="184">
        <v>2300</v>
      </c>
      <c r="K380" s="336">
        <v>0</v>
      </c>
      <c r="L380" s="336">
        <v>0</v>
      </c>
      <c r="M380" s="184">
        <v>0</v>
      </c>
      <c r="N380" s="50"/>
      <c r="O380" s="18"/>
      <c r="P380" s="50"/>
      <c r="V380" s="22"/>
      <c r="W380" s="22"/>
    </row>
    <row r="381" spans="1:23" s="97" customFormat="1" ht="285.60000000000002" customHeight="1" thickBot="1" x14ac:dyDescent="0.35">
      <c r="A381" s="22"/>
      <c r="B381" s="118">
        <v>367</v>
      </c>
      <c r="C381" s="539" t="s">
        <v>181</v>
      </c>
      <c r="D381" s="338" t="s">
        <v>118</v>
      </c>
      <c r="E381" s="118">
        <v>2024</v>
      </c>
      <c r="F381" s="540">
        <v>2024</v>
      </c>
      <c r="G381" s="118" t="s">
        <v>165</v>
      </c>
      <c r="H381" s="541">
        <f>I381+J381+K381+L381+M381</f>
        <v>600</v>
      </c>
      <c r="I381" s="284">
        <v>600</v>
      </c>
      <c r="J381" s="461">
        <f>SUM(J384:J386)</f>
        <v>0</v>
      </c>
      <c r="K381" s="284">
        <f>SUM(K384:K386)</f>
        <v>0</v>
      </c>
      <c r="L381" s="330">
        <f>SUM(L384:L386)</f>
        <v>0</v>
      </c>
      <c r="M381" s="231">
        <f>SUM(M384:M386)</f>
        <v>0</v>
      </c>
      <c r="N381" s="50"/>
      <c r="O381" s="18"/>
      <c r="P381" s="50"/>
      <c r="V381" s="22"/>
      <c r="W381" s="22"/>
    </row>
    <row r="382" spans="1:23" s="101" customFormat="1" ht="51.6" customHeight="1" thickBot="1" x14ac:dyDescent="0.35">
      <c r="A382" s="22"/>
      <c r="B382" s="334"/>
      <c r="C382" s="542" t="s">
        <v>184</v>
      </c>
      <c r="D382" s="163"/>
      <c r="E382" s="143"/>
      <c r="F382" s="121"/>
      <c r="G382" s="143"/>
      <c r="H382" s="214">
        <f>900-600</f>
        <v>300</v>
      </c>
      <c r="I382" s="535">
        <v>300</v>
      </c>
      <c r="J382" s="208">
        <v>0</v>
      </c>
      <c r="K382" s="232">
        <v>0</v>
      </c>
      <c r="L382" s="208">
        <v>0</v>
      </c>
      <c r="M382" s="167">
        <v>0</v>
      </c>
      <c r="N382" s="50"/>
      <c r="O382" s="18"/>
      <c r="P382" s="50"/>
      <c r="V382" s="22"/>
      <c r="W382" s="22"/>
    </row>
    <row r="383" spans="1:23" s="97" customFormat="1" ht="40.049999999999997" customHeight="1" thickBot="1" x14ac:dyDescent="0.35">
      <c r="A383" s="22"/>
      <c r="B383" s="118">
        <v>368</v>
      </c>
      <c r="C383" s="138" t="s">
        <v>0</v>
      </c>
      <c r="D383" s="239"/>
      <c r="E383" s="169"/>
      <c r="F383" s="170"/>
      <c r="G383" s="169"/>
      <c r="H383" s="424"/>
      <c r="I383" s="193"/>
      <c r="J383" s="173"/>
      <c r="K383" s="193"/>
      <c r="L383" s="193"/>
      <c r="M383" s="173"/>
      <c r="N383" s="50"/>
      <c r="O383" s="18"/>
      <c r="P383" s="50"/>
      <c r="V383" s="22"/>
      <c r="W383" s="22"/>
    </row>
    <row r="384" spans="1:23" s="97" customFormat="1" ht="40.049999999999997" customHeight="1" thickBot="1" x14ac:dyDescent="0.35">
      <c r="A384" s="22"/>
      <c r="B384" s="118">
        <v>369</v>
      </c>
      <c r="C384" s="132" t="s">
        <v>1</v>
      </c>
      <c r="D384" s="242"/>
      <c r="E384" s="134"/>
      <c r="F384" s="175"/>
      <c r="G384" s="134"/>
      <c r="H384" s="291">
        <f>I384+J384+K384+L384+M384</f>
        <v>0</v>
      </c>
      <c r="I384" s="197">
        <v>0</v>
      </c>
      <c r="J384" s="176">
        <v>0</v>
      </c>
      <c r="K384" s="197">
        <v>0</v>
      </c>
      <c r="L384" s="197">
        <v>0</v>
      </c>
      <c r="M384" s="176">
        <v>0</v>
      </c>
      <c r="N384" s="50"/>
      <c r="O384" s="18"/>
      <c r="P384" s="50"/>
      <c r="V384" s="22"/>
      <c r="W384" s="22"/>
    </row>
    <row r="385" spans="1:23" s="97" customFormat="1" ht="40.049999999999997" customHeight="1" thickBot="1" x14ac:dyDescent="0.35">
      <c r="A385" s="22"/>
      <c r="B385" s="118">
        <v>370</v>
      </c>
      <c r="C385" s="132" t="s">
        <v>2</v>
      </c>
      <c r="D385" s="242"/>
      <c r="E385" s="134"/>
      <c r="F385" s="175"/>
      <c r="G385" s="134"/>
      <c r="H385" s="291">
        <f>I385+J385+K385+L385+M385</f>
        <v>0</v>
      </c>
      <c r="I385" s="197">
        <v>0</v>
      </c>
      <c r="J385" s="176">
        <v>0</v>
      </c>
      <c r="K385" s="197">
        <v>0</v>
      </c>
      <c r="L385" s="197">
        <v>0</v>
      </c>
      <c r="M385" s="176">
        <v>0</v>
      </c>
      <c r="N385" s="50"/>
      <c r="O385" s="18"/>
      <c r="P385" s="50"/>
      <c r="V385" s="22"/>
      <c r="W385" s="22"/>
    </row>
    <row r="386" spans="1:23" s="97" customFormat="1" ht="40.049999999999997" customHeight="1" thickBot="1" x14ac:dyDescent="0.35">
      <c r="A386" s="22"/>
      <c r="B386" s="118">
        <v>371</v>
      </c>
      <c r="C386" s="221" t="s">
        <v>3</v>
      </c>
      <c r="D386" s="245"/>
      <c r="E386" s="180"/>
      <c r="F386" s="181"/>
      <c r="G386" s="180"/>
      <c r="H386" s="347">
        <f>I386+J386+K386+L386+M386</f>
        <v>900</v>
      </c>
      <c r="I386" s="336">
        <v>900</v>
      </c>
      <c r="J386" s="184">
        <v>0</v>
      </c>
      <c r="K386" s="336">
        <v>0</v>
      </c>
      <c r="L386" s="336">
        <v>0</v>
      </c>
      <c r="M386" s="184">
        <v>0</v>
      </c>
      <c r="N386" s="50"/>
      <c r="O386" s="18"/>
      <c r="P386" s="50"/>
      <c r="V386" s="22"/>
      <c r="W386" s="22"/>
    </row>
    <row r="387" spans="1:23" s="97" customFormat="1" ht="180" customHeight="1" thickBot="1" x14ac:dyDescent="0.35">
      <c r="A387" s="22"/>
      <c r="B387" s="118">
        <v>372</v>
      </c>
      <c r="C387" s="521" t="s">
        <v>183</v>
      </c>
      <c r="D387" s="543" t="s">
        <v>182</v>
      </c>
      <c r="E387" s="118">
        <v>2024</v>
      </c>
      <c r="F387" s="540">
        <v>2024</v>
      </c>
      <c r="G387" s="118" t="s">
        <v>168</v>
      </c>
      <c r="H387" s="493">
        <f>I387+J387+K387+L387+M387</f>
        <v>1400</v>
      </c>
      <c r="I387" s="188">
        <f>SUM(I388:I391)</f>
        <v>1400</v>
      </c>
      <c r="J387" s="232">
        <f>SUM(J389:J391)</f>
        <v>0</v>
      </c>
      <c r="K387" s="188">
        <f>SUM(K389:K391)</f>
        <v>0</v>
      </c>
      <c r="L387" s="535">
        <f>SUM(L389:L391)</f>
        <v>0</v>
      </c>
      <c r="M387" s="208">
        <f>SUM(M389:M391)</f>
        <v>0</v>
      </c>
      <c r="N387" s="50"/>
      <c r="O387" s="18"/>
      <c r="P387" s="50"/>
      <c r="V387" s="22"/>
      <c r="W387" s="22"/>
    </row>
    <row r="388" spans="1:23" s="97" customFormat="1" ht="40.049999999999997" customHeight="1" thickBot="1" x14ac:dyDescent="0.35">
      <c r="A388" s="22"/>
      <c r="B388" s="118">
        <v>373</v>
      </c>
      <c r="C388" s="125" t="s">
        <v>0</v>
      </c>
      <c r="D388" s="299"/>
      <c r="E388" s="127"/>
      <c r="F388" s="228"/>
      <c r="G388" s="127"/>
      <c r="H388" s="216"/>
      <c r="I388" s="301"/>
      <c r="J388" s="211"/>
      <c r="K388" s="301"/>
      <c r="L388" s="301"/>
      <c r="M388" s="211"/>
      <c r="N388" s="50"/>
      <c r="O388" s="18"/>
      <c r="P388" s="50"/>
      <c r="V388" s="22"/>
      <c r="W388" s="22"/>
    </row>
    <row r="389" spans="1:23" s="97" customFormat="1" ht="40.049999999999997" customHeight="1" thickBot="1" x14ac:dyDescent="0.35">
      <c r="A389" s="22"/>
      <c r="B389" s="118">
        <v>374</v>
      </c>
      <c r="C389" s="132" t="s">
        <v>1</v>
      </c>
      <c r="D389" s="242"/>
      <c r="E389" s="134"/>
      <c r="F389" s="175"/>
      <c r="G389" s="134"/>
      <c r="H389" s="291">
        <f>I389+J389+K389+L389+M389</f>
        <v>0</v>
      </c>
      <c r="I389" s="197">
        <v>0</v>
      </c>
      <c r="J389" s="176">
        <v>0</v>
      </c>
      <c r="K389" s="197">
        <v>0</v>
      </c>
      <c r="L389" s="197">
        <v>0</v>
      </c>
      <c r="M389" s="176">
        <v>0</v>
      </c>
      <c r="N389" s="50"/>
      <c r="O389" s="18"/>
      <c r="P389" s="50"/>
      <c r="V389" s="22"/>
      <c r="W389" s="22"/>
    </row>
    <row r="390" spans="1:23" s="97" customFormat="1" ht="40.049999999999997" customHeight="1" thickBot="1" x14ac:dyDescent="0.35">
      <c r="A390" s="22"/>
      <c r="B390" s="118">
        <v>375</v>
      </c>
      <c r="C390" s="132" t="s">
        <v>2</v>
      </c>
      <c r="D390" s="242"/>
      <c r="E390" s="134"/>
      <c r="F390" s="175"/>
      <c r="G390" s="134"/>
      <c r="H390" s="291">
        <f>I390+J390+K390+L390+M390</f>
        <v>0</v>
      </c>
      <c r="I390" s="197">
        <v>0</v>
      </c>
      <c r="J390" s="176">
        <v>0</v>
      </c>
      <c r="K390" s="197">
        <v>0</v>
      </c>
      <c r="L390" s="197">
        <v>0</v>
      </c>
      <c r="M390" s="176">
        <v>0</v>
      </c>
      <c r="N390" s="50"/>
      <c r="O390" s="18"/>
      <c r="P390" s="50"/>
      <c r="V390" s="22"/>
      <c r="W390" s="22"/>
    </row>
    <row r="391" spans="1:23" s="97" customFormat="1" ht="40.049999999999997" customHeight="1" thickBot="1" x14ac:dyDescent="0.35">
      <c r="A391" s="22"/>
      <c r="B391" s="118">
        <v>376</v>
      </c>
      <c r="C391" s="159" t="s">
        <v>3</v>
      </c>
      <c r="D391" s="302"/>
      <c r="E391" s="161"/>
      <c r="F391" s="202"/>
      <c r="G391" s="161"/>
      <c r="H391" s="294">
        <f>I391+J391+K391+L391+M391</f>
        <v>1400</v>
      </c>
      <c r="I391" s="203">
        <v>1400</v>
      </c>
      <c r="J391" s="212">
        <v>0</v>
      </c>
      <c r="K391" s="203">
        <v>0</v>
      </c>
      <c r="L391" s="203">
        <v>0</v>
      </c>
      <c r="M391" s="212">
        <v>0</v>
      </c>
      <c r="N391" s="50"/>
      <c r="O391" s="18"/>
      <c r="P391" s="50"/>
      <c r="V391" s="22"/>
      <c r="W391" s="22"/>
    </row>
    <row r="392" spans="1:23" s="97" customFormat="1" ht="97.2" customHeight="1" thickBot="1" x14ac:dyDescent="0.35">
      <c r="A392" s="22"/>
      <c r="B392" s="118">
        <v>377</v>
      </c>
      <c r="C392" s="544" t="s">
        <v>167</v>
      </c>
      <c r="D392" s="163" t="s">
        <v>118</v>
      </c>
      <c r="E392" s="340">
        <v>2024</v>
      </c>
      <c r="F392" s="449">
        <v>2024</v>
      </c>
      <c r="G392" s="112" t="s">
        <v>39</v>
      </c>
      <c r="H392" s="545">
        <f>I392+J392+K392+L392+M392</f>
        <v>405952.65213</v>
      </c>
      <c r="I392" s="546">
        <f>I394+I395+I396</f>
        <v>8555.5721300000005</v>
      </c>
      <c r="J392" s="231">
        <f>J394+J395+J396</f>
        <v>0</v>
      </c>
      <c r="K392" s="231">
        <f>K394+K395+K396</f>
        <v>0</v>
      </c>
      <c r="L392" s="231">
        <f>L394+L395+L396</f>
        <v>397397.08</v>
      </c>
      <c r="M392" s="231">
        <f>M394+M395+M396</f>
        <v>0</v>
      </c>
      <c r="N392" s="10"/>
      <c r="O392" s="16"/>
      <c r="P392" s="50"/>
      <c r="V392" s="22"/>
      <c r="W392" s="22"/>
    </row>
    <row r="393" spans="1:23" s="97" customFormat="1" ht="40.049999999999997" customHeight="1" thickBot="1" x14ac:dyDescent="0.35">
      <c r="A393" s="22"/>
      <c r="B393" s="118">
        <v>378</v>
      </c>
      <c r="C393" s="451" t="s">
        <v>0</v>
      </c>
      <c r="D393" s="227"/>
      <c r="E393" s="127"/>
      <c r="F393" s="127"/>
      <c r="G393" s="127"/>
      <c r="H393" s="271"/>
      <c r="I393" s="253"/>
      <c r="J393" s="389"/>
      <c r="K393" s="389"/>
      <c r="L393" s="389"/>
      <c r="M393" s="325"/>
      <c r="N393" s="50"/>
      <c r="O393" s="16"/>
      <c r="P393" s="50"/>
      <c r="V393" s="22"/>
      <c r="W393" s="22"/>
    </row>
    <row r="394" spans="1:23" s="97" customFormat="1" ht="40.049999999999997" customHeight="1" thickBot="1" x14ac:dyDescent="0.35">
      <c r="A394" s="22"/>
      <c r="B394" s="118">
        <v>379</v>
      </c>
      <c r="C394" s="452" t="s">
        <v>1</v>
      </c>
      <c r="D394" s="196"/>
      <c r="E394" s="134"/>
      <c r="F394" s="134"/>
      <c r="G394" s="134"/>
      <c r="H394" s="547">
        <f>I394+J394+K394+L394+M394</f>
        <v>275734.78000000003</v>
      </c>
      <c r="I394" s="548">
        <f t="shared" ref="I394:M396" si="6">I399+I404+I409+I414+I419+I424+I429+I434</f>
        <v>0</v>
      </c>
      <c r="J394" s="548">
        <f t="shared" si="6"/>
        <v>0</v>
      </c>
      <c r="K394" s="548">
        <f t="shared" si="6"/>
        <v>0</v>
      </c>
      <c r="L394" s="548">
        <f t="shared" si="6"/>
        <v>275734.78000000003</v>
      </c>
      <c r="M394" s="158">
        <f t="shared" si="6"/>
        <v>0</v>
      </c>
      <c r="N394" s="10"/>
      <c r="O394" s="16"/>
      <c r="P394" s="50"/>
      <c r="V394" s="22"/>
      <c r="W394" s="22"/>
    </row>
    <row r="395" spans="1:23" s="97" customFormat="1" ht="40.049999999999997" customHeight="1" thickBot="1" x14ac:dyDescent="0.35">
      <c r="A395" s="22"/>
      <c r="B395" s="118">
        <v>380</v>
      </c>
      <c r="C395" s="452" t="s">
        <v>2</v>
      </c>
      <c r="D395" s="196"/>
      <c r="E395" s="134"/>
      <c r="F395" s="134"/>
      <c r="G395" s="134"/>
      <c r="H395" s="547">
        <f>I395+J395+K395+L395+M395</f>
        <v>108992.45</v>
      </c>
      <c r="I395" s="548">
        <f t="shared" si="6"/>
        <v>0</v>
      </c>
      <c r="J395" s="548">
        <f t="shared" si="6"/>
        <v>0</v>
      </c>
      <c r="K395" s="548">
        <f t="shared" si="6"/>
        <v>0</v>
      </c>
      <c r="L395" s="548">
        <f t="shared" si="6"/>
        <v>108992.45</v>
      </c>
      <c r="M395" s="158">
        <f t="shared" si="6"/>
        <v>0</v>
      </c>
      <c r="N395" s="10"/>
      <c r="O395" s="16"/>
      <c r="P395" s="50"/>
      <c r="V395" s="22"/>
      <c r="W395" s="22"/>
    </row>
    <row r="396" spans="1:23" s="97" customFormat="1" ht="40.049999999999997" customHeight="1" thickBot="1" x14ac:dyDescent="0.35">
      <c r="A396" s="22"/>
      <c r="B396" s="121">
        <v>381</v>
      </c>
      <c r="C396" s="453" t="s">
        <v>3</v>
      </c>
      <c r="D396" s="200"/>
      <c r="E396" s="161"/>
      <c r="F396" s="161"/>
      <c r="G396" s="161"/>
      <c r="H396" s="549">
        <f>I396+J396+K396+L396+M396</f>
        <v>21225.422129999999</v>
      </c>
      <c r="I396" s="550">
        <f t="shared" si="6"/>
        <v>8555.5721300000005</v>
      </c>
      <c r="J396" s="550">
        <f t="shared" si="6"/>
        <v>0</v>
      </c>
      <c r="K396" s="550">
        <f t="shared" si="6"/>
        <v>0</v>
      </c>
      <c r="L396" s="550">
        <f t="shared" si="6"/>
        <v>12669.85</v>
      </c>
      <c r="M396" s="395">
        <f t="shared" si="6"/>
        <v>0</v>
      </c>
      <c r="N396" s="10"/>
      <c r="O396" s="16"/>
      <c r="P396" s="50"/>
      <c r="V396" s="22"/>
      <c r="W396" s="22"/>
    </row>
    <row r="397" spans="1:23" s="97" customFormat="1" ht="309" customHeight="1" thickBot="1" x14ac:dyDescent="0.35">
      <c r="A397" s="22"/>
      <c r="B397" s="315">
        <v>382</v>
      </c>
      <c r="C397" s="311" t="s">
        <v>75</v>
      </c>
      <c r="D397" s="514" t="s">
        <v>118</v>
      </c>
      <c r="E397" s="314">
        <v>2023</v>
      </c>
      <c r="F397" s="260">
        <v>2024</v>
      </c>
      <c r="G397" s="259" t="s">
        <v>28</v>
      </c>
      <c r="H397" s="551">
        <f>I397+J397+K397+L397+M397</f>
        <v>4496.8999999999996</v>
      </c>
      <c r="I397" s="262">
        <f>SUM(I399:I401)</f>
        <v>4496.8999999999996</v>
      </c>
      <c r="J397" s="262">
        <f>SUM(J399:J401)</f>
        <v>0</v>
      </c>
      <c r="K397" s="262">
        <f>SUM(K399:K401)</f>
        <v>0</v>
      </c>
      <c r="L397" s="262">
        <f>SUM(L399:L401)</f>
        <v>0</v>
      </c>
      <c r="M397" s="262">
        <f>SUM(M399:M401)</f>
        <v>0</v>
      </c>
      <c r="N397" s="10"/>
      <c r="O397" s="10"/>
      <c r="P397" s="31"/>
      <c r="Q397" s="31"/>
      <c r="V397" s="22"/>
      <c r="W397" s="22"/>
    </row>
    <row r="398" spans="1:23" s="97" customFormat="1" ht="40.049999999999997" customHeight="1" thickBot="1" x14ac:dyDescent="0.35">
      <c r="A398" s="22"/>
      <c r="B398" s="118">
        <v>383</v>
      </c>
      <c r="C398" s="226" t="s">
        <v>0</v>
      </c>
      <c r="D398" s="227"/>
      <c r="E398" s="127"/>
      <c r="F398" s="518"/>
      <c r="G398" s="552"/>
      <c r="H398" s="343"/>
      <c r="I398" s="173"/>
      <c r="J398" s="173"/>
      <c r="K398" s="173"/>
      <c r="L398" s="173"/>
      <c r="M398" s="173"/>
      <c r="N398" s="50"/>
      <c r="O398" s="16"/>
      <c r="V398" s="22"/>
      <c r="W398" s="22"/>
    </row>
    <row r="399" spans="1:23" s="97" customFormat="1" ht="40.049999999999997" customHeight="1" thickBot="1" x14ac:dyDescent="0.35">
      <c r="A399" s="22"/>
      <c r="B399" s="118">
        <v>384</v>
      </c>
      <c r="C399" s="195" t="s">
        <v>1</v>
      </c>
      <c r="D399" s="196"/>
      <c r="E399" s="134"/>
      <c r="F399" s="519"/>
      <c r="G399" s="553"/>
      <c r="H399" s="136">
        <f>I399+J399+M399</f>
        <v>0</v>
      </c>
      <c r="I399" s="176">
        <v>0</v>
      </c>
      <c r="J399" s="176">
        <v>0</v>
      </c>
      <c r="K399" s="176">
        <v>0</v>
      </c>
      <c r="L399" s="176">
        <v>0</v>
      </c>
      <c r="M399" s="176">
        <v>0</v>
      </c>
      <c r="N399" s="44"/>
      <c r="O399" s="9"/>
      <c r="P399" s="3"/>
      <c r="Q399" s="3"/>
      <c r="V399" s="22"/>
      <c r="W399" s="22"/>
    </row>
    <row r="400" spans="1:23" s="97" customFormat="1" ht="40.049999999999997" customHeight="1" thickBot="1" x14ac:dyDescent="0.35">
      <c r="A400" s="22"/>
      <c r="B400" s="118">
        <v>385</v>
      </c>
      <c r="C400" s="195" t="s">
        <v>2</v>
      </c>
      <c r="D400" s="196"/>
      <c r="E400" s="134"/>
      <c r="F400" s="519"/>
      <c r="G400" s="553"/>
      <c r="H400" s="136">
        <f>I400+J400+M400</f>
        <v>0</v>
      </c>
      <c r="I400" s="176">
        <v>0</v>
      </c>
      <c r="J400" s="176">
        <v>0</v>
      </c>
      <c r="K400" s="176">
        <v>0</v>
      </c>
      <c r="L400" s="176">
        <v>0</v>
      </c>
      <c r="M400" s="176">
        <v>0</v>
      </c>
      <c r="N400" s="44"/>
      <c r="O400" s="9"/>
      <c r="P400" s="3"/>
      <c r="Q400" s="3"/>
      <c r="V400" s="22"/>
      <c r="W400" s="22"/>
    </row>
    <row r="401" spans="1:23" s="97" customFormat="1" ht="40.049999999999997" customHeight="1" thickBot="1" x14ac:dyDescent="0.35">
      <c r="A401" s="22"/>
      <c r="B401" s="118">
        <v>386</v>
      </c>
      <c r="C401" s="199" t="s">
        <v>3</v>
      </c>
      <c r="D401" s="200"/>
      <c r="E401" s="161"/>
      <c r="F401" s="530"/>
      <c r="G401" s="554"/>
      <c r="H401" s="140">
        <f>I401+J401+M401</f>
        <v>4496.8999999999996</v>
      </c>
      <c r="I401" s="184">
        <v>4496.8999999999996</v>
      </c>
      <c r="J401" s="184">
        <v>0</v>
      </c>
      <c r="K401" s="184">
        <v>0</v>
      </c>
      <c r="L401" s="184">
        <v>0</v>
      </c>
      <c r="M401" s="184">
        <v>0</v>
      </c>
      <c r="N401" s="44"/>
      <c r="O401" s="9"/>
      <c r="P401" s="3"/>
      <c r="Q401" s="3"/>
      <c r="V401" s="22"/>
      <c r="W401" s="22"/>
    </row>
    <row r="402" spans="1:23" s="97" customFormat="1" ht="288.60000000000002" customHeight="1" thickBot="1" x14ac:dyDescent="0.35">
      <c r="A402" s="22"/>
      <c r="B402" s="118">
        <v>387</v>
      </c>
      <c r="C402" s="337" t="s">
        <v>134</v>
      </c>
      <c r="D402" s="163" t="s">
        <v>118</v>
      </c>
      <c r="E402" s="340">
        <v>2027</v>
      </c>
      <c r="F402" s="341">
        <v>2027</v>
      </c>
      <c r="G402" s="340" t="s">
        <v>66</v>
      </c>
      <c r="H402" s="283">
        <f>I402+J402+K402+L402+M402</f>
        <v>127397.08</v>
      </c>
      <c r="I402" s="555">
        <f>SUM(I404:I406)</f>
        <v>0</v>
      </c>
      <c r="J402" s="284">
        <f>SUM(J404:J406)</f>
        <v>0</v>
      </c>
      <c r="K402" s="284">
        <f>SUM(K404:K406)</f>
        <v>0</v>
      </c>
      <c r="L402" s="284">
        <f>SUM(L404:L406)</f>
        <v>127397.08</v>
      </c>
      <c r="M402" s="284">
        <f>SUM(M404:M406)</f>
        <v>0</v>
      </c>
      <c r="N402" s="10"/>
      <c r="O402" s="10">
        <v>120337.38</v>
      </c>
      <c r="P402" s="31">
        <f>SUM(P404:P406)</f>
        <v>0</v>
      </c>
      <c r="Q402" s="31"/>
      <c r="V402" s="22"/>
      <c r="W402" s="22"/>
    </row>
    <row r="403" spans="1:23" s="97" customFormat="1" ht="40.049999999999997" customHeight="1" thickBot="1" x14ac:dyDescent="0.35">
      <c r="A403" s="22"/>
      <c r="B403" s="118">
        <v>388</v>
      </c>
      <c r="C403" s="318" t="s">
        <v>0</v>
      </c>
      <c r="D403" s="227"/>
      <c r="E403" s="128"/>
      <c r="F403" s="128"/>
      <c r="G403" s="128"/>
      <c r="H403" s="216"/>
      <c r="I403" s="286"/>
      <c r="J403" s="301"/>
      <c r="K403" s="301"/>
      <c r="L403" s="287"/>
      <c r="M403" s="301"/>
      <c r="N403" s="50"/>
      <c r="O403" s="16"/>
      <c r="V403" s="22"/>
      <c r="W403" s="22"/>
    </row>
    <row r="404" spans="1:23" s="97" customFormat="1" ht="41.4" customHeight="1" thickBot="1" x14ac:dyDescent="0.35">
      <c r="A404" s="22"/>
      <c r="B404" s="118">
        <v>389</v>
      </c>
      <c r="C404" s="319" t="s">
        <v>1</v>
      </c>
      <c r="D404" s="196"/>
      <c r="E404" s="139"/>
      <c r="F404" s="139"/>
      <c r="G404" s="139"/>
      <c r="H404" s="291">
        <f>I404+J404+K404+L404+M404</f>
        <v>110134.78</v>
      </c>
      <c r="I404" s="292">
        <v>0</v>
      </c>
      <c r="J404" s="197">
        <v>0</v>
      </c>
      <c r="K404" s="197">
        <v>0</v>
      </c>
      <c r="L404" s="254">
        <v>110134.78</v>
      </c>
      <c r="M404" s="197">
        <v>0</v>
      </c>
      <c r="N404" s="44"/>
      <c r="O404" s="9">
        <f>(O402-O406)/100*91</f>
        <v>104031.66500999998</v>
      </c>
      <c r="P404" s="3"/>
      <c r="Q404" s="3"/>
      <c r="V404" s="22"/>
      <c r="W404" s="22"/>
    </row>
    <row r="405" spans="1:23" s="97" customFormat="1" ht="40.049999999999997" customHeight="1" thickBot="1" x14ac:dyDescent="0.35">
      <c r="A405" s="22"/>
      <c r="B405" s="118">
        <v>390</v>
      </c>
      <c r="C405" s="319" t="s">
        <v>2</v>
      </c>
      <c r="D405" s="196"/>
      <c r="E405" s="139"/>
      <c r="F405" s="139"/>
      <c r="G405" s="139"/>
      <c r="H405" s="291">
        <f>I405+J405+K405+L405+M405</f>
        <v>10892.45</v>
      </c>
      <c r="I405" s="292">
        <v>0</v>
      </c>
      <c r="J405" s="197">
        <v>0</v>
      </c>
      <c r="K405" s="197">
        <v>0</v>
      </c>
      <c r="L405" s="254">
        <v>10892.45</v>
      </c>
      <c r="M405" s="197">
        <v>0</v>
      </c>
      <c r="N405" s="44"/>
      <c r="O405" s="9">
        <f>O402-O404-O406</f>
        <v>10288.845990000022</v>
      </c>
      <c r="P405" s="3"/>
      <c r="Q405" s="3"/>
      <c r="V405" s="22"/>
      <c r="W405" s="22"/>
    </row>
    <row r="406" spans="1:23" s="97" customFormat="1" ht="40.049999999999997" customHeight="1" thickBot="1" x14ac:dyDescent="0.35">
      <c r="A406" s="22"/>
      <c r="B406" s="118">
        <v>391</v>
      </c>
      <c r="C406" s="320" t="s">
        <v>3</v>
      </c>
      <c r="D406" s="200"/>
      <c r="E406" s="201"/>
      <c r="F406" s="201"/>
      <c r="G406" s="201"/>
      <c r="H406" s="294">
        <f>I406+J406+K406+L406+M406</f>
        <v>6369.85</v>
      </c>
      <c r="I406" s="304">
        <v>0</v>
      </c>
      <c r="J406" s="203">
        <v>0</v>
      </c>
      <c r="K406" s="203">
        <v>0</v>
      </c>
      <c r="L406" s="256">
        <v>6369.85</v>
      </c>
      <c r="M406" s="203">
        <v>0</v>
      </c>
      <c r="N406" s="44"/>
      <c r="O406" s="9">
        <f>O402/100*5</f>
        <v>6016.8690000000006</v>
      </c>
      <c r="P406" s="3"/>
      <c r="Q406" s="3"/>
      <c r="V406" s="22"/>
      <c r="W406" s="22"/>
    </row>
    <row r="407" spans="1:23" s="97" customFormat="1" ht="138" customHeight="1" thickBot="1" x14ac:dyDescent="0.35">
      <c r="A407" s="22"/>
      <c r="B407" s="118">
        <v>392</v>
      </c>
      <c r="C407" s="556" t="s">
        <v>64</v>
      </c>
      <c r="D407" s="163" t="s">
        <v>118</v>
      </c>
      <c r="E407" s="149">
        <v>2023</v>
      </c>
      <c r="F407" s="259">
        <v>2024</v>
      </c>
      <c r="G407" s="259" t="s">
        <v>28</v>
      </c>
      <c r="H407" s="551">
        <f>I407+J407+K407+L407+M407</f>
        <v>876.76531999999997</v>
      </c>
      <c r="I407" s="262">
        <f>SUM(I409:I411)</f>
        <v>876.76531999999997</v>
      </c>
      <c r="J407" s="262">
        <f>SUM(J409:J411)</f>
        <v>0</v>
      </c>
      <c r="K407" s="208">
        <f>SUM(K409:K411)</f>
        <v>0</v>
      </c>
      <c r="L407" s="262">
        <f>SUM(L409:L411)</f>
        <v>0</v>
      </c>
      <c r="M407" s="262">
        <f>SUM(M409:M411)</f>
        <v>0</v>
      </c>
      <c r="N407" s="40"/>
      <c r="O407" s="50" t="e">
        <f>#REF!+#REF!+#REF!</f>
        <v>#REF!</v>
      </c>
      <c r="P407" s="50"/>
      <c r="Q407" s="50"/>
      <c r="V407" s="22"/>
      <c r="W407" s="22"/>
    </row>
    <row r="408" spans="1:23" s="97" customFormat="1" ht="40.049999999999997" customHeight="1" thickBot="1" x14ac:dyDescent="0.35">
      <c r="A408" s="22"/>
      <c r="B408" s="118">
        <v>393</v>
      </c>
      <c r="C408" s="226" t="s">
        <v>0</v>
      </c>
      <c r="D408" s="153"/>
      <c r="E408" s="127"/>
      <c r="F408" s="127"/>
      <c r="G408" s="127"/>
      <c r="H408" s="324"/>
      <c r="I408" s="211"/>
      <c r="J408" s="211"/>
      <c r="K408" s="360"/>
      <c r="L408" s="360"/>
      <c r="M408" s="360"/>
      <c r="N408" s="41"/>
      <c r="O408" s="50"/>
      <c r="P408" s="50"/>
      <c r="Q408" s="50"/>
      <c r="V408" s="22"/>
      <c r="W408" s="22"/>
    </row>
    <row r="409" spans="1:23" s="97" customFormat="1" ht="40.049999999999997" customHeight="1" thickBot="1" x14ac:dyDescent="0.35">
      <c r="A409" s="22"/>
      <c r="B409" s="118">
        <v>394</v>
      </c>
      <c r="C409" s="195" t="s">
        <v>1</v>
      </c>
      <c r="D409" s="156"/>
      <c r="E409" s="134"/>
      <c r="F409" s="134"/>
      <c r="G409" s="134"/>
      <c r="H409" s="529">
        <f>I409+J409+M409</f>
        <v>0</v>
      </c>
      <c r="I409" s="176">
        <v>0</v>
      </c>
      <c r="J409" s="176">
        <v>0</v>
      </c>
      <c r="K409" s="177">
        <v>0</v>
      </c>
      <c r="L409" s="177">
        <v>0</v>
      </c>
      <c r="M409" s="177">
        <v>0</v>
      </c>
      <c r="N409" s="41"/>
      <c r="O409" s="50"/>
      <c r="P409" s="50"/>
      <c r="Q409" s="50"/>
      <c r="V409" s="22"/>
      <c r="W409" s="22"/>
    </row>
    <row r="410" spans="1:23" s="97" customFormat="1" ht="40.049999999999997" customHeight="1" thickBot="1" x14ac:dyDescent="0.35">
      <c r="A410" s="22"/>
      <c r="B410" s="118">
        <v>395</v>
      </c>
      <c r="C410" s="195" t="s">
        <v>2</v>
      </c>
      <c r="D410" s="156"/>
      <c r="E410" s="134"/>
      <c r="F410" s="134"/>
      <c r="G410" s="134"/>
      <c r="H410" s="529">
        <f>I410+J410+M410</f>
        <v>0</v>
      </c>
      <c r="I410" s="176">
        <v>0</v>
      </c>
      <c r="J410" s="176">
        <v>0</v>
      </c>
      <c r="K410" s="177">
        <v>0</v>
      </c>
      <c r="L410" s="177">
        <v>0</v>
      </c>
      <c r="M410" s="177">
        <v>0</v>
      </c>
      <c r="N410" s="41"/>
      <c r="O410" s="50"/>
      <c r="P410" s="50"/>
      <c r="Q410" s="50"/>
      <c r="V410" s="22"/>
      <c r="W410" s="22"/>
    </row>
    <row r="411" spans="1:23" s="97" customFormat="1" ht="40.049999999999997" customHeight="1" thickBot="1" x14ac:dyDescent="0.35">
      <c r="A411" s="22"/>
      <c r="B411" s="118">
        <v>396</v>
      </c>
      <c r="C411" s="199" t="s">
        <v>3</v>
      </c>
      <c r="D411" s="160"/>
      <c r="E411" s="161"/>
      <c r="F411" s="161"/>
      <c r="G411" s="161"/>
      <c r="H411" s="557">
        <f>I411+J411+M411</f>
        <v>876.76531999999997</v>
      </c>
      <c r="I411" s="212">
        <v>876.76531999999997</v>
      </c>
      <c r="J411" s="212">
        <v>0</v>
      </c>
      <c r="K411" s="205">
        <v>0</v>
      </c>
      <c r="L411" s="205">
        <v>0</v>
      </c>
      <c r="M411" s="205">
        <v>0</v>
      </c>
      <c r="N411" s="41"/>
      <c r="O411" s="50"/>
      <c r="P411" s="50"/>
      <c r="Q411" s="50"/>
      <c r="V411" s="22"/>
      <c r="W411" s="22"/>
    </row>
    <row r="412" spans="1:23" s="97" customFormat="1" ht="106.2" customHeight="1" thickBot="1" x14ac:dyDescent="0.35">
      <c r="A412" s="22"/>
      <c r="B412" s="118">
        <v>397</v>
      </c>
      <c r="C412" s="558" t="s">
        <v>97</v>
      </c>
      <c r="D412" s="163" t="s">
        <v>118</v>
      </c>
      <c r="E412" s="112">
        <v>2027</v>
      </c>
      <c r="F412" s="164">
        <v>2027</v>
      </c>
      <c r="G412" s="121"/>
      <c r="H412" s="551">
        <f>I412+J412+K412+L412+M412</f>
        <v>90000</v>
      </c>
      <c r="I412" s="262">
        <f>SUM(I414:I416)</f>
        <v>0</v>
      </c>
      <c r="J412" s="262">
        <f>SUM(J414:J416)</f>
        <v>0</v>
      </c>
      <c r="K412" s="262">
        <f>SUM(K414:K416)</f>
        <v>0</v>
      </c>
      <c r="L412" s="262">
        <v>90000</v>
      </c>
      <c r="M412" s="262">
        <f>SUM(M414:M416)</f>
        <v>0</v>
      </c>
      <c r="N412" s="41"/>
      <c r="O412" s="50"/>
      <c r="P412" s="50"/>
      <c r="Q412" s="50"/>
      <c r="V412" s="22"/>
      <c r="W412" s="22"/>
    </row>
    <row r="413" spans="1:23" s="97" customFormat="1" ht="40.049999999999997" customHeight="1" thickBot="1" x14ac:dyDescent="0.35">
      <c r="A413" s="22"/>
      <c r="B413" s="118">
        <v>398</v>
      </c>
      <c r="C413" s="226" t="s">
        <v>0</v>
      </c>
      <c r="D413" s="285"/>
      <c r="E413" s="127"/>
      <c r="F413" s="127"/>
      <c r="G413" s="127"/>
      <c r="H413" s="324"/>
      <c r="I413" s="211"/>
      <c r="J413" s="211"/>
      <c r="K413" s="211"/>
      <c r="L413" s="360"/>
      <c r="M413" s="360"/>
      <c r="N413" s="41"/>
      <c r="O413" s="50"/>
      <c r="P413" s="50"/>
      <c r="Q413" s="50"/>
      <c r="V413" s="22"/>
      <c r="W413" s="22"/>
    </row>
    <row r="414" spans="1:23" s="97" customFormat="1" ht="40.049999999999997" customHeight="1" thickBot="1" x14ac:dyDescent="0.35">
      <c r="A414" s="22"/>
      <c r="B414" s="118">
        <v>399</v>
      </c>
      <c r="C414" s="195" t="s">
        <v>1</v>
      </c>
      <c r="D414" s="290"/>
      <c r="E414" s="134"/>
      <c r="F414" s="134"/>
      <c r="G414" s="134"/>
      <c r="H414" s="529">
        <f>I414+J414+K414+L414+M414</f>
        <v>82800</v>
      </c>
      <c r="I414" s="176">
        <v>0</v>
      </c>
      <c r="J414" s="176">
        <v>0</v>
      </c>
      <c r="K414" s="176">
        <v>0</v>
      </c>
      <c r="L414" s="177">
        <f>L412*92%</f>
        <v>82800</v>
      </c>
      <c r="M414" s="177">
        <v>0</v>
      </c>
      <c r="N414" s="41"/>
      <c r="O414" s="50"/>
      <c r="P414" s="50"/>
      <c r="Q414" s="50"/>
      <c r="V414" s="22"/>
      <c r="W414" s="22"/>
    </row>
    <row r="415" spans="1:23" s="97" customFormat="1" ht="40.049999999999997" customHeight="1" thickBot="1" x14ac:dyDescent="0.35">
      <c r="A415" s="22"/>
      <c r="B415" s="118">
        <v>400</v>
      </c>
      <c r="C415" s="195" t="s">
        <v>2</v>
      </c>
      <c r="D415" s="290"/>
      <c r="E415" s="134"/>
      <c r="F415" s="134"/>
      <c r="G415" s="134"/>
      <c r="H415" s="529">
        <f>I415+J415+K415+L415+M415</f>
        <v>6300.0000000000009</v>
      </c>
      <c r="I415" s="176">
        <v>0</v>
      </c>
      <c r="J415" s="176">
        <v>0</v>
      </c>
      <c r="K415" s="176">
        <v>0</v>
      </c>
      <c r="L415" s="177">
        <f>L412*7%</f>
        <v>6300.0000000000009</v>
      </c>
      <c r="M415" s="177">
        <v>0</v>
      </c>
      <c r="N415" s="41"/>
      <c r="O415" s="50"/>
      <c r="P415" s="50"/>
      <c r="Q415" s="50"/>
      <c r="V415" s="22"/>
      <c r="W415" s="22"/>
    </row>
    <row r="416" spans="1:23" s="97" customFormat="1" ht="40.049999999999997" customHeight="1" thickBot="1" x14ac:dyDescent="0.35">
      <c r="A416" s="22"/>
      <c r="B416" s="118">
        <v>401</v>
      </c>
      <c r="C416" s="199" t="s">
        <v>3</v>
      </c>
      <c r="D416" s="293"/>
      <c r="E416" s="161"/>
      <c r="F416" s="161"/>
      <c r="G416" s="161"/>
      <c r="H416" s="559">
        <f>I416+J416+K416+L416+M416</f>
        <v>900</v>
      </c>
      <c r="I416" s="184">
        <v>0</v>
      </c>
      <c r="J416" s="184">
        <v>0</v>
      </c>
      <c r="K416" s="184">
        <v>0</v>
      </c>
      <c r="L416" s="205">
        <f>L412/100</f>
        <v>900</v>
      </c>
      <c r="M416" s="205">
        <v>0</v>
      </c>
      <c r="N416" s="41"/>
      <c r="O416" s="50"/>
      <c r="P416" s="50"/>
      <c r="Q416" s="50"/>
      <c r="V416" s="22"/>
      <c r="W416" s="22"/>
    </row>
    <row r="417" spans="1:23" s="97" customFormat="1" ht="144.6" customHeight="1" thickBot="1" x14ac:dyDescent="0.35">
      <c r="A417" s="22"/>
      <c r="B417" s="118">
        <v>402</v>
      </c>
      <c r="C417" s="311" t="s">
        <v>65</v>
      </c>
      <c r="D417" s="163" t="s">
        <v>118</v>
      </c>
      <c r="E417" s="225">
        <v>2023</v>
      </c>
      <c r="F417" s="560">
        <v>2024</v>
      </c>
      <c r="G417" s="449" t="s">
        <v>28</v>
      </c>
      <c r="H417" s="561">
        <f>I417+J417+K417+L417+M417</f>
        <v>937.90680999999995</v>
      </c>
      <c r="I417" s="208">
        <f>SUM(I419:I421)</f>
        <v>937.90680999999995</v>
      </c>
      <c r="J417" s="208">
        <f>SUM(J419:J421)</f>
        <v>0</v>
      </c>
      <c r="K417" s="208">
        <f>SUM(K419:K421)</f>
        <v>0</v>
      </c>
      <c r="L417" s="208">
        <f>SUM(L419:L421)</f>
        <v>0</v>
      </c>
      <c r="M417" s="262">
        <f>SUM(M419:M421)</f>
        <v>0</v>
      </c>
      <c r="N417" s="40"/>
      <c r="O417" s="10"/>
      <c r="P417" s="50"/>
      <c r="Q417" s="50"/>
      <c r="V417" s="22"/>
      <c r="W417" s="22"/>
    </row>
    <row r="418" spans="1:23" s="97" customFormat="1" ht="40.049999999999997" customHeight="1" thickBot="1" x14ac:dyDescent="0.35">
      <c r="A418" s="22"/>
      <c r="B418" s="118">
        <v>403</v>
      </c>
      <c r="C418" s="226" t="s">
        <v>0</v>
      </c>
      <c r="D418" s="227"/>
      <c r="E418" s="127"/>
      <c r="F418" s="169"/>
      <c r="G418" s="228"/>
      <c r="H418" s="343"/>
      <c r="I418" s="211"/>
      <c r="J418" s="173"/>
      <c r="K418" s="173"/>
      <c r="L418" s="173"/>
      <c r="M418" s="173"/>
      <c r="N418" s="41"/>
      <c r="O418" s="50"/>
      <c r="P418" s="50"/>
      <c r="Q418" s="50"/>
      <c r="V418" s="22"/>
      <c r="W418" s="22"/>
    </row>
    <row r="419" spans="1:23" s="97" customFormat="1" ht="40.049999999999997" customHeight="1" thickBot="1" x14ac:dyDescent="0.35">
      <c r="A419" s="22"/>
      <c r="B419" s="118">
        <v>404</v>
      </c>
      <c r="C419" s="195" t="s">
        <v>1</v>
      </c>
      <c r="D419" s="196"/>
      <c r="E419" s="134"/>
      <c r="F419" s="134"/>
      <c r="G419" s="175"/>
      <c r="H419" s="136">
        <f>I419+J419+K419+L419+M419</f>
        <v>0</v>
      </c>
      <c r="I419" s="176">
        <v>0</v>
      </c>
      <c r="J419" s="176">
        <v>0</v>
      </c>
      <c r="K419" s="176">
        <v>0</v>
      </c>
      <c r="L419" s="176">
        <v>0</v>
      </c>
      <c r="M419" s="176">
        <v>0</v>
      </c>
      <c r="N419" s="41"/>
      <c r="O419" s="50"/>
      <c r="P419" s="50"/>
      <c r="Q419" s="50"/>
      <c r="V419" s="22"/>
      <c r="W419" s="22"/>
    </row>
    <row r="420" spans="1:23" s="97" customFormat="1" ht="40.049999999999997" customHeight="1" thickBot="1" x14ac:dyDescent="0.35">
      <c r="A420" s="22"/>
      <c r="B420" s="118">
        <v>405</v>
      </c>
      <c r="C420" s="195" t="s">
        <v>2</v>
      </c>
      <c r="D420" s="196"/>
      <c r="E420" s="134"/>
      <c r="F420" s="134"/>
      <c r="G420" s="175"/>
      <c r="H420" s="136">
        <f>I420+J420+K420+L420+M420</f>
        <v>0</v>
      </c>
      <c r="I420" s="176">
        <v>0</v>
      </c>
      <c r="J420" s="176">
        <v>0</v>
      </c>
      <c r="K420" s="176">
        <v>0</v>
      </c>
      <c r="L420" s="176">
        <v>0</v>
      </c>
      <c r="M420" s="176">
        <v>0</v>
      </c>
      <c r="N420" s="41"/>
      <c r="O420" s="50"/>
      <c r="P420" s="50"/>
      <c r="Q420" s="50"/>
      <c r="V420" s="22"/>
      <c r="W420" s="22"/>
    </row>
    <row r="421" spans="1:23" s="97" customFormat="1" ht="40.049999999999997" customHeight="1" thickBot="1" x14ac:dyDescent="0.35">
      <c r="A421" s="22"/>
      <c r="B421" s="118">
        <v>406</v>
      </c>
      <c r="C421" s="229" t="s">
        <v>3</v>
      </c>
      <c r="D421" s="222"/>
      <c r="E421" s="180"/>
      <c r="F421" s="180"/>
      <c r="G421" s="181"/>
      <c r="H421" s="562">
        <f>I421+J421+K421+L421+M421</f>
        <v>937.90680999999995</v>
      </c>
      <c r="I421" s="184">
        <v>937.90680999999995</v>
      </c>
      <c r="J421" s="184">
        <v>0</v>
      </c>
      <c r="K421" s="184">
        <v>0</v>
      </c>
      <c r="L421" s="184">
        <v>0</v>
      </c>
      <c r="M421" s="184">
        <v>0</v>
      </c>
      <c r="N421" s="41"/>
      <c r="O421" s="50"/>
      <c r="P421" s="50"/>
      <c r="Q421" s="50"/>
      <c r="V421" s="22"/>
      <c r="W421" s="22"/>
    </row>
    <row r="422" spans="1:23" s="97" customFormat="1" ht="133.19999999999999" customHeight="1" thickBot="1" x14ac:dyDescent="0.35">
      <c r="A422" s="22"/>
      <c r="B422" s="118">
        <v>407</v>
      </c>
      <c r="C422" s="563" t="s">
        <v>98</v>
      </c>
      <c r="D422" s="163" t="s">
        <v>118</v>
      </c>
      <c r="E422" s="112">
        <v>2027</v>
      </c>
      <c r="F422" s="164">
        <v>2027</v>
      </c>
      <c r="G422" s="121"/>
      <c r="H422" s="564">
        <f>I422+J422+K422+L422+M422</f>
        <v>90000</v>
      </c>
      <c r="I422" s="208">
        <f>SUM(I424:I426)</f>
        <v>0</v>
      </c>
      <c r="J422" s="208">
        <f>SUM(J424:J426)</f>
        <v>0</v>
      </c>
      <c r="K422" s="208">
        <f>SUM(K424:K426)</f>
        <v>0</v>
      </c>
      <c r="L422" s="208">
        <v>90000</v>
      </c>
      <c r="M422" s="208">
        <f>SUM(M424:M426)</f>
        <v>0</v>
      </c>
      <c r="N422" s="41"/>
      <c r="O422" s="50"/>
      <c r="P422" s="50"/>
      <c r="Q422" s="50"/>
      <c r="V422" s="22"/>
      <c r="W422" s="22"/>
    </row>
    <row r="423" spans="1:23" s="97" customFormat="1" ht="40.049999999999997" customHeight="1" thickBot="1" x14ac:dyDescent="0.35">
      <c r="A423" s="22"/>
      <c r="B423" s="118">
        <v>408</v>
      </c>
      <c r="C423" s="189" t="s">
        <v>0</v>
      </c>
      <c r="D423" s="285"/>
      <c r="E423" s="127"/>
      <c r="F423" s="170"/>
      <c r="G423" s="128"/>
      <c r="H423" s="343"/>
      <c r="I423" s="360"/>
      <c r="J423" s="211"/>
      <c r="K423" s="360"/>
      <c r="L423" s="360"/>
      <c r="M423" s="360"/>
      <c r="N423" s="41"/>
      <c r="O423" s="50"/>
      <c r="P423" s="50"/>
      <c r="Q423" s="50"/>
      <c r="V423" s="22"/>
      <c r="W423" s="22"/>
    </row>
    <row r="424" spans="1:23" s="97" customFormat="1" ht="40.049999999999997" customHeight="1" thickBot="1" x14ac:dyDescent="0.35">
      <c r="A424" s="22"/>
      <c r="B424" s="118">
        <v>409</v>
      </c>
      <c r="C424" s="195" t="s">
        <v>1</v>
      </c>
      <c r="D424" s="290"/>
      <c r="E424" s="134"/>
      <c r="F424" s="175"/>
      <c r="G424" s="139"/>
      <c r="H424" s="136">
        <f>I424+J424+K424+L424+M424</f>
        <v>82800</v>
      </c>
      <c r="I424" s="177">
        <v>0</v>
      </c>
      <c r="J424" s="176">
        <v>0</v>
      </c>
      <c r="K424" s="177">
        <v>0</v>
      </c>
      <c r="L424" s="177">
        <v>82800</v>
      </c>
      <c r="M424" s="177">
        <v>0</v>
      </c>
      <c r="N424" s="41"/>
      <c r="O424" s="50"/>
      <c r="P424" s="50"/>
      <c r="Q424" s="50"/>
      <c r="V424" s="22"/>
      <c r="W424" s="22"/>
    </row>
    <row r="425" spans="1:23" s="97" customFormat="1" ht="40.049999999999997" customHeight="1" thickBot="1" x14ac:dyDescent="0.35">
      <c r="A425" s="22"/>
      <c r="B425" s="118">
        <v>410</v>
      </c>
      <c r="C425" s="195" t="s">
        <v>2</v>
      </c>
      <c r="D425" s="290"/>
      <c r="E425" s="134"/>
      <c r="F425" s="175"/>
      <c r="G425" s="139"/>
      <c r="H425" s="136">
        <f>I425+J425+K425+L425+M425</f>
        <v>6300</v>
      </c>
      <c r="I425" s="177">
        <v>0</v>
      </c>
      <c r="J425" s="176">
        <v>0</v>
      </c>
      <c r="K425" s="177">
        <v>0</v>
      </c>
      <c r="L425" s="177">
        <v>6300</v>
      </c>
      <c r="M425" s="177">
        <v>0</v>
      </c>
      <c r="N425" s="41"/>
      <c r="O425" s="50"/>
      <c r="P425" s="50"/>
      <c r="Q425" s="50"/>
      <c r="V425" s="22"/>
      <c r="W425" s="22"/>
    </row>
    <row r="426" spans="1:23" s="97" customFormat="1" ht="40.049999999999997" customHeight="1" thickBot="1" x14ac:dyDescent="0.35">
      <c r="A426" s="22"/>
      <c r="B426" s="118">
        <v>411</v>
      </c>
      <c r="C426" s="229" t="s">
        <v>3</v>
      </c>
      <c r="D426" s="293"/>
      <c r="E426" s="161"/>
      <c r="F426" s="181"/>
      <c r="G426" s="201"/>
      <c r="H426" s="140">
        <f>I426+J426+K426+L426+M426</f>
        <v>900</v>
      </c>
      <c r="I426" s="185">
        <v>0</v>
      </c>
      <c r="J426" s="184">
        <v>0</v>
      </c>
      <c r="K426" s="205">
        <v>0</v>
      </c>
      <c r="L426" s="205">
        <v>900</v>
      </c>
      <c r="M426" s="205">
        <v>0</v>
      </c>
      <c r="N426" s="41"/>
      <c r="O426" s="50"/>
      <c r="P426" s="50"/>
      <c r="Q426" s="50"/>
      <c r="V426" s="22"/>
      <c r="W426" s="22"/>
    </row>
    <row r="427" spans="1:23" s="97" customFormat="1" ht="139.19999999999999" customHeight="1" thickBot="1" x14ac:dyDescent="0.35">
      <c r="A427" s="22"/>
      <c r="B427" s="118">
        <v>412</v>
      </c>
      <c r="C427" s="119" t="s">
        <v>99</v>
      </c>
      <c r="D427" s="163" t="s">
        <v>118</v>
      </c>
      <c r="E427" s="112">
        <v>2024</v>
      </c>
      <c r="F427" s="112">
        <v>2024</v>
      </c>
      <c r="G427" s="164" t="s">
        <v>28</v>
      </c>
      <c r="H427" s="565">
        <f>I427+J427+K427+L427+M427</f>
        <v>2244</v>
      </c>
      <c r="I427" s="188">
        <f>I429+I430+I431</f>
        <v>2244</v>
      </c>
      <c r="J427" s="188">
        <f>SUM(J429:J431)</f>
        <v>0</v>
      </c>
      <c r="K427" s="188">
        <f>SUM(K429:K431)</f>
        <v>0</v>
      </c>
      <c r="L427" s="188">
        <f>SUM(L429:L431)</f>
        <v>0</v>
      </c>
      <c r="M427" s="397">
        <f>SUM(M429:M431)</f>
        <v>0</v>
      </c>
      <c r="N427" s="41"/>
      <c r="O427" s="50"/>
      <c r="P427" s="50"/>
      <c r="Q427" s="50"/>
      <c r="V427" s="22"/>
      <c r="W427" s="22"/>
    </row>
    <row r="428" spans="1:23" s="97" customFormat="1" ht="40.049999999999997" customHeight="1" thickBot="1" x14ac:dyDescent="0.35">
      <c r="A428" s="22"/>
      <c r="B428" s="118">
        <v>413</v>
      </c>
      <c r="C428" s="318" t="s">
        <v>0</v>
      </c>
      <c r="D428" s="153"/>
      <c r="E428" s="228"/>
      <c r="F428" s="127"/>
      <c r="G428" s="128"/>
      <c r="H428" s="401"/>
      <c r="I428" s="301"/>
      <c r="J428" s="301"/>
      <c r="K428" s="301"/>
      <c r="L428" s="301"/>
      <c r="M428" s="301"/>
      <c r="N428" s="41"/>
      <c r="O428" s="50"/>
      <c r="P428" s="50"/>
      <c r="Q428" s="50"/>
      <c r="V428" s="22"/>
      <c r="W428" s="22"/>
    </row>
    <row r="429" spans="1:23" s="97" customFormat="1" ht="40.049999999999997" customHeight="1" thickBot="1" x14ac:dyDescent="0.35">
      <c r="A429" s="22"/>
      <c r="B429" s="118">
        <v>414</v>
      </c>
      <c r="C429" s="319" t="s">
        <v>1</v>
      </c>
      <c r="D429" s="156"/>
      <c r="E429" s="175"/>
      <c r="F429" s="134"/>
      <c r="G429" s="139"/>
      <c r="H429" s="275">
        <f>I429+J429+K429+L429+M429</f>
        <v>0</v>
      </c>
      <c r="I429" s="197">
        <v>0</v>
      </c>
      <c r="J429" s="197">
        <v>0</v>
      </c>
      <c r="K429" s="197">
        <v>0</v>
      </c>
      <c r="L429" s="197">
        <v>0</v>
      </c>
      <c r="M429" s="197">
        <v>0</v>
      </c>
      <c r="N429" s="41"/>
      <c r="O429" s="50"/>
      <c r="P429" s="50"/>
      <c r="Q429" s="50"/>
      <c r="V429" s="22"/>
      <c r="W429" s="22"/>
    </row>
    <row r="430" spans="1:23" s="97" customFormat="1" ht="40.049999999999997" customHeight="1" thickBot="1" x14ac:dyDescent="0.35">
      <c r="A430" s="22"/>
      <c r="B430" s="118">
        <v>415</v>
      </c>
      <c r="C430" s="319" t="s">
        <v>2</v>
      </c>
      <c r="D430" s="156"/>
      <c r="E430" s="175"/>
      <c r="F430" s="134"/>
      <c r="G430" s="139"/>
      <c r="H430" s="275">
        <f>I430+J430+K430+L430+M430</f>
        <v>0</v>
      </c>
      <c r="I430" s="197">
        <v>0</v>
      </c>
      <c r="J430" s="197">
        <v>0</v>
      </c>
      <c r="K430" s="197">
        <v>0</v>
      </c>
      <c r="L430" s="197">
        <v>0</v>
      </c>
      <c r="M430" s="197">
        <v>0</v>
      </c>
      <c r="N430" s="41"/>
      <c r="O430" s="50"/>
      <c r="P430" s="50"/>
      <c r="Q430" s="50"/>
      <c r="V430" s="22"/>
      <c r="W430" s="22"/>
    </row>
    <row r="431" spans="1:23" s="97" customFormat="1" ht="40.049999999999997" customHeight="1" thickBot="1" x14ac:dyDescent="0.35">
      <c r="A431" s="22"/>
      <c r="B431" s="118">
        <v>416</v>
      </c>
      <c r="C431" s="320" t="s">
        <v>3</v>
      </c>
      <c r="D431" s="160"/>
      <c r="E431" s="202"/>
      <c r="F431" s="161"/>
      <c r="G431" s="201"/>
      <c r="H431" s="390">
        <f>I431+J431+K431+L431+M431</f>
        <v>2244</v>
      </c>
      <c r="I431" s="203">
        <v>2244</v>
      </c>
      <c r="J431" s="203">
        <v>0</v>
      </c>
      <c r="K431" s="203">
        <v>0</v>
      </c>
      <c r="L431" s="203">
        <v>0</v>
      </c>
      <c r="M431" s="203">
        <v>0</v>
      </c>
      <c r="N431" s="41"/>
      <c r="O431" s="50"/>
      <c r="P431" s="50"/>
      <c r="Q431" s="50"/>
      <c r="V431" s="22"/>
      <c r="W431" s="22"/>
    </row>
    <row r="432" spans="1:23" s="97" customFormat="1" ht="104.4" customHeight="1" thickBot="1" x14ac:dyDescent="0.35">
      <c r="A432" s="22"/>
      <c r="B432" s="118">
        <v>417</v>
      </c>
      <c r="C432" s="119" t="s">
        <v>115</v>
      </c>
      <c r="D432" s="163" t="s">
        <v>118</v>
      </c>
      <c r="E432" s="112">
        <v>2027</v>
      </c>
      <c r="F432" s="112">
        <v>2027</v>
      </c>
      <c r="G432" s="566"/>
      <c r="H432" s="567">
        <f>I432+J432+K432+L432+M432</f>
        <v>90000</v>
      </c>
      <c r="I432" s="188">
        <f>SUM(I434:I436)</f>
        <v>0</v>
      </c>
      <c r="J432" s="188">
        <f>SUM(J434:J436)</f>
        <v>0</v>
      </c>
      <c r="K432" s="188">
        <f>SUM(K434:K436)</f>
        <v>0</v>
      </c>
      <c r="L432" s="188">
        <f>SUM(L434:L436)</f>
        <v>90000</v>
      </c>
      <c r="M432" s="188">
        <f>SUM(M434:M436)</f>
        <v>0</v>
      </c>
      <c r="N432" s="41"/>
      <c r="O432" s="50"/>
      <c r="P432" s="50"/>
      <c r="Q432" s="50"/>
      <c r="V432" s="22"/>
      <c r="W432" s="22"/>
    </row>
    <row r="433" spans="1:23" s="97" customFormat="1" ht="40.049999999999997" customHeight="1" thickBot="1" x14ac:dyDescent="0.35">
      <c r="A433" s="22"/>
      <c r="B433" s="118">
        <v>418</v>
      </c>
      <c r="C433" s="318" t="s">
        <v>0</v>
      </c>
      <c r="D433" s="153"/>
      <c r="E433" s="127"/>
      <c r="F433" s="127"/>
      <c r="G433" s="128"/>
      <c r="H433" s="216"/>
      <c r="I433" s="289"/>
      <c r="J433" s="301"/>
      <c r="K433" s="289"/>
      <c r="L433" s="289"/>
      <c r="M433" s="289"/>
      <c r="N433" s="41"/>
      <c r="O433" s="50"/>
      <c r="P433" s="50"/>
      <c r="Q433" s="50"/>
      <c r="V433" s="22"/>
      <c r="W433" s="22"/>
    </row>
    <row r="434" spans="1:23" s="97" customFormat="1" ht="40.049999999999997" customHeight="1" thickBot="1" x14ac:dyDescent="0.35">
      <c r="A434" s="22"/>
      <c r="B434" s="118">
        <v>419</v>
      </c>
      <c r="C434" s="319" t="s">
        <v>1</v>
      </c>
      <c r="D434" s="168"/>
      <c r="E434" s="169"/>
      <c r="F434" s="169"/>
      <c r="G434" s="191"/>
      <c r="H434" s="291">
        <f>I434+J434+K434+L434+M434</f>
        <v>0</v>
      </c>
      <c r="I434" s="244">
        <v>0</v>
      </c>
      <c r="J434" s="197">
        <v>0</v>
      </c>
      <c r="K434" s="244">
        <v>0</v>
      </c>
      <c r="L434" s="244">
        <v>0</v>
      </c>
      <c r="M434" s="244">
        <v>0</v>
      </c>
      <c r="N434" s="41"/>
      <c r="O434" s="50"/>
      <c r="P434" s="50"/>
      <c r="Q434" s="50"/>
      <c r="V434" s="22"/>
      <c r="W434" s="22"/>
    </row>
    <row r="435" spans="1:23" s="97" customFormat="1" ht="40.049999999999997" customHeight="1" thickBot="1" x14ac:dyDescent="0.35">
      <c r="A435" s="22"/>
      <c r="B435" s="118">
        <v>420</v>
      </c>
      <c r="C435" s="319" t="s">
        <v>2</v>
      </c>
      <c r="D435" s="156"/>
      <c r="E435" s="134"/>
      <c r="F435" s="134"/>
      <c r="G435" s="139"/>
      <c r="H435" s="291">
        <f>I435+J435+K435+L435+M435</f>
        <v>85500</v>
      </c>
      <c r="I435" s="244">
        <v>0</v>
      </c>
      <c r="J435" s="197">
        <v>0</v>
      </c>
      <c r="K435" s="244">
        <v>0</v>
      </c>
      <c r="L435" s="244">
        <f>77805+7695</f>
        <v>85500</v>
      </c>
      <c r="M435" s="244">
        <v>0</v>
      </c>
      <c r="N435" s="41"/>
      <c r="O435" s="50"/>
      <c r="P435" s="50"/>
      <c r="Q435" s="50"/>
      <c r="V435" s="22"/>
      <c r="W435" s="22"/>
    </row>
    <row r="436" spans="1:23" s="97" customFormat="1" ht="40.049999999999997" customHeight="1" thickBot="1" x14ac:dyDescent="0.35">
      <c r="A436" s="22"/>
      <c r="B436" s="121">
        <v>421</v>
      </c>
      <c r="C436" s="320" t="s">
        <v>3</v>
      </c>
      <c r="D436" s="160"/>
      <c r="E436" s="161"/>
      <c r="F436" s="161"/>
      <c r="G436" s="201"/>
      <c r="H436" s="294">
        <f>I436+J436+K436+L436+M436</f>
        <v>4500</v>
      </c>
      <c r="I436" s="303">
        <v>0</v>
      </c>
      <c r="J436" s="203">
        <v>0</v>
      </c>
      <c r="K436" s="303">
        <v>0</v>
      </c>
      <c r="L436" s="303">
        <v>4500</v>
      </c>
      <c r="M436" s="303">
        <v>0</v>
      </c>
      <c r="N436" s="41"/>
      <c r="O436" s="50"/>
      <c r="P436" s="50"/>
      <c r="Q436" s="50"/>
      <c r="V436" s="22"/>
      <c r="W436" s="22"/>
    </row>
    <row r="437" spans="1:23" s="97" customFormat="1" ht="42.75" customHeight="1" x14ac:dyDescent="0.3">
      <c r="A437" s="22"/>
      <c r="B437" s="87"/>
      <c r="C437" s="32"/>
      <c r="D437" s="33"/>
      <c r="E437" s="33"/>
      <c r="F437" s="33"/>
      <c r="G437" s="34"/>
      <c r="H437" s="48"/>
      <c r="I437" s="100"/>
      <c r="J437" s="100"/>
      <c r="K437" s="100"/>
      <c r="L437" s="100"/>
      <c r="M437" s="100"/>
      <c r="N437" s="100"/>
      <c r="V437" s="22"/>
      <c r="W437" s="22"/>
    </row>
    <row r="438" spans="1:23" s="97" customFormat="1" ht="136.80000000000001" customHeight="1" x14ac:dyDescent="0.65">
      <c r="A438" s="22"/>
      <c r="B438" s="87"/>
      <c r="C438" s="88" t="s">
        <v>162</v>
      </c>
      <c r="D438" s="89"/>
      <c r="E438" s="573" t="s">
        <v>15</v>
      </c>
      <c r="F438" s="573"/>
      <c r="G438" s="573"/>
      <c r="H438" s="573"/>
      <c r="I438" s="573"/>
      <c r="J438" s="573"/>
      <c r="K438" s="573"/>
      <c r="L438" s="90"/>
      <c r="M438" s="90"/>
      <c r="N438" s="12"/>
      <c r="V438" s="22"/>
      <c r="W438" s="22"/>
    </row>
    <row r="439" spans="1:23" s="97" customFormat="1" ht="21.75" customHeight="1" x14ac:dyDescent="0.3">
      <c r="A439" s="22"/>
      <c r="B439" s="87"/>
      <c r="C439" s="91"/>
      <c r="D439" s="92"/>
      <c r="E439" s="92"/>
      <c r="F439" s="92"/>
      <c r="G439" s="93"/>
      <c r="H439" s="94"/>
      <c r="I439" s="95"/>
      <c r="J439" s="95"/>
      <c r="K439" s="95"/>
      <c r="L439" s="100"/>
      <c r="M439" s="100"/>
      <c r="V439" s="22"/>
      <c r="W439" s="22"/>
    </row>
    <row r="440" spans="1:23" s="97" customFormat="1" x14ac:dyDescent="0.3">
      <c r="A440" s="22"/>
      <c r="B440" s="87"/>
      <c r="C440" s="96"/>
      <c r="D440" s="33"/>
      <c r="E440" s="33"/>
      <c r="F440" s="33"/>
      <c r="G440" s="34"/>
      <c r="H440" s="48"/>
      <c r="I440" s="100"/>
      <c r="J440" s="100"/>
      <c r="K440" s="100"/>
      <c r="L440" s="100"/>
      <c r="M440" s="100"/>
      <c r="V440" s="22"/>
      <c r="W440" s="22"/>
    </row>
    <row r="447" spans="1:23" s="97" customFormat="1" x14ac:dyDescent="0.3">
      <c r="B447" s="6"/>
      <c r="C447" s="7"/>
      <c r="D447" s="22"/>
      <c r="E447" s="22"/>
      <c r="F447" s="22"/>
      <c r="G447" s="98"/>
      <c r="H447" s="35"/>
    </row>
  </sheetData>
  <sheetProtection formatCells="0" formatColumns="0" formatRows="0" insertColumns="0" insertRows="0" insertHyperlinks="0" deleteColumns="0" deleteRows="0" sort="0" autoFilter="0" pivotTables="0"/>
  <autoFilter ref="C14:W436"/>
  <mergeCells count="26">
    <mergeCell ref="N130:O130"/>
    <mergeCell ref="N190:O190"/>
    <mergeCell ref="N220:O220"/>
    <mergeCell ref="E438:K438"/>
    <mergeCell ref="O52:O55"/>
    <mergeCell ref="N57:N60"/>
    <mergeCell ref="O87:O90"/>
    <mergeCell ref="N95:O95"/>
    <mergeCell ref="N97:N100"/>
    <mergeCell ref="N107:N110"/>
    <mergeCell ref="J8:M8"/>
    <mergeCell ref="J9:M9"/>
    <mergeCell ref="B11:M11"/>
    <mergeCell ref="B12:B13"/>
    <mergeCell ref="C12:C13"/>
    <mergeCell ref="D12:D13"/>
    <mergeCell ref="E12:F12"/>
    <mergeCell ref="G12:G13"/>
    <mergeCell ref="H12:H13"/>
    <mergeCell ref="I12:M12"/>
    <mergeCell ref="J7:M7"/>
    <mergeCell ref="J1:M1"/>
    <mergeCell ref="J2:M2"/>
    <mergeCell ref="J3:M3"/>
    <mergeCell ref="J4:M4"/>
    <mergeCell ref="J6:M6"/>
  </mergeCells>
  <printOptions gridLines="1"/>
  <pageMargins left="0.43307086614173229" right="0.19685039370078741" top="0.55118110236220474" bottom="0.35433070866141736" header="0.31496062992125984" footer="0.31496062992125984"/>
  <pageSetup paperSize="9" scale="25" fitToHeight="0" orientation="landscape" r:id="rId1"/>
  <headerFooter>
    <oddHeader>Страница 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16.07.2024 школы +сады</vt:lpstr>
      <vt:lpstr>'16.07.2024 школы +сады'!Заголовки_для_печати</vt:lpstr>
      <vt:lpstr>'16.07.2024 школы +сады'!Область_печати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Зубцова Н В</dc:creator>
  <cp:lastModifiedBy>Толкачев</cp:lastModifiedBy>
  <cp:lastPrinted>2024-07-18T08:12:38Z</cp:lastPrinted>
  <dcterms:created xsi:type="dcterms:W3CDTF">2020-03-03T06:04:45Z</dcterms:created>
  <dcterms:modified xsi:type="dcterms:W3CDTF">2024-07-19T08:31:59Z</dcterms:modified>
</cp:coreProperties>
</file>