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khinina-zhv\Desktop\"/>
    </mc:Choice>
  </mc:AlternateContent>
  <bookViews>
    <workbookView xWindow="480" yWindow="105" windowWidth="23250" windowHeight="12600"/>
  </bookViews>
  <sheets>
    <sheet name="2019" sheetId="4" r:id="rId1"/>
  </sheets>
  <definedNames>
    <definedName name="_xlnm._FilterDatabase" localSheetId="0" hidden="1">'2019'!$A$6:$M$169</definedName>
    <definedName name="_xlnm.Print_Titles" localSheetId="0">'2019'!$3:$6</definedName>
  </definedNames>
  <calcPr calcId="162913"/>
</workbook>
</file>

<file path=xl/calcChain.xml><?xml version="1.0" encoding="utf-8"?>
<calcChain xmlns="http://schemas.openxmlformats.org/spreadsheetml/2006/main">
  <c r="I163" i="4" l="1"/>
  <c r="I161" i="4" s="1"/>
  <c r="F163" i="4"/>
  <c r="D163" i="4"/>
  <c r="D161" i="4" s="1"/>
  <c r="H161" i="4"/>
  <c r="E161" i="4"/>
  <c r="C161" i="4"/>
  <c r="J154" i="4"/>
  <c r="G154" i="4"/>
  <c r="I152" i="4"/>
  <c r="H152" i="4"/>
  <c r="F152" i="4"/>
  <c r="E152" i="4"/>
  <c r="D152" i="4"/>
  <c r="G152" i="4" s="1"/>
  <c r="C152" i="4"/>
  <c r="I145" i="4"/>
  <c r="I143" i="4" s="1"/>
  <c r="D145" i="4"/>
  <c r="G145" i="4" s="1"/>
  <c r="H143" i="4"/>
  <c r="F143" i="4"/>
  <c r="E143" i="4"/>
  <c r="C143" i="4"/>
  <c r="I137" i="4"/>
  <c r="F137" i="4"/>
  <c r="F134" i="4" s="1"/>
  <c r="D137" i="4"/>
  <c r="D134" i="4" s="1"/>
  <c r="J136" i="4"/>
  <c r="G136" i="4"/>
  <c r="H134" i="4"/>
  <c r="E134" i="4"/>
  <c r="C134" i="4"/>
  <c r="H127" i="4"/>
  <c r="H125" i="4" s="1"/>
  <c r="F127" i="4"/>
  <c r="F125" i="4" s="1"/>
  <c r="D127" i="4"/>
  <c r="D125" i="4" s="1"/>
  <c r="I125" i="4"/>
  <c r="E125" i="4"/>
  <c r="C125" i="4"/>
  <c r="F118" i="4"/>
  <c r="F116" i="4" s="1"/>
  <c r="D118" i="4"/>
  <c r="D116" i="4" s="1"/>
  <c r="I116" i="4"/>
  <c r="H116" i="4"/>
  <c r="E116" i="4"/>
  <c r="C116" i="4"/>
  <c r="I109" i="4"/>
  <c r="F109" i="4"/>
  <c r="F107" i="4" s="1"/>
  <c r="E109" i="4"/>
  <c r="H109" i="4" s="1"/>
  <c r="H107" i="4" s="1"/>
  <c r="D109" i="4"/>
  <c r="D107" i="4" s="1"/>
  <c r="C109" i="4"/>
  <c r="C107" i="4" s="1"/>
  <c r="J101" i="4"/>
  <c r="G101" i="4"/>
  <c r="I98" i="4"/>
  <c r="H98" i="4"/>
  <c r="F98" i="4"/>
  <c r="G98" i="4" s="1"/>
  <c r="E98" i="4"/>
  <c r="D98" i="4"/>
  <c r="C98" i="4"/>
  <c r="I92" i="4"/>
  <c r="F92" i="4"/>
  <c r="E92" i="4"/>
  <c r="H92" i="4" s="1"/>
  <c r="D92" i="4"/>
  <c r="C92" i="4"/>
  <c r="C89" i="4" s="1"/>
  <c r="H91" i="4"/>
  <c r="F91" i="4"/>
  <c r="D91" i="4"/>
  <c r="J91" i="4" s="1"/>
  <c r="I81" i="4"/>
  <c r="H81" i="4"/>
  <c r="H79" i="4" s="1"/>
  <c r="F81" i="4"/>
  <c r="D81" i="4"/>
  <c r="D79" i="4" s="1"/>
  <c r="I79" i="4"/>
  <c r="E79" i="4"/>
  <c r="C79" i="4"/>
  <c r="F72" i="4"/>
  <c r="D72" i="4"/>
  <c r="J72" i="4" s="1"/>
  <c r="I71" i="4"/>
  <c r="I69" i="4" s="1"/>
  <c r="H71" i="4"/>
  <c r="H69" i="4" s="1"/>
  <c r="F71" i="4"/>
  <c r="E71" i="4"/>
  <c r="D71" i="4"/>
  <c r="C71" i="4"/>
  <c r="E69" i="4"/>
  <c r="C69" i="4"/>
  <c r="I62" i="4"/>
  <c r="J62" i="4" s="1"/>
  <c r="H62" i="4"/>
  <c r="G62" i="4"/>
  <c r="I61" i="4"/>
  <c r="H61" i="4"/>
  <c r="F61" i="4"/>
  <c r="D61" i="4"/>
  <c r="D59" i="4" s="1"/>
  <c r="F59" i="4"/>
  <c r="E59" i="4"/>
  <c r="C59" i="4"/>
  <c r="H53" i="4"/>
  <c r="F53" i="4"/>
  <c r="E53" i="4"/>
  <c r="D53" i="4"/>
  <c r="J53" i="4" s="1"/>
  <c r="C53" i="4"/>
  <c r="F52" i="4"/>
  <c r="F50" i="4" s="1"/>
  <c r="D52" i="4"/>
  <c r="J52" i="4" s="1"/>
  <c r="I50" i="4"/>
  <c r="H50" i="4"/>
  <c r="J43" i="4"/>
  <c r="G43" i="4"/>
  <c r="I40" i="4"/>
  <c r="H40" i="4"/>
  <c r="F40" i="4"/>
  <c r="E40" i="4"/>
  <c r="D40" i="4"/>
  <c r="C40" i="4"/>
  <c r="J32" i="4"/>
  <c r="G32" i="4"/>
  <c r="I30" i="4"/>
  <c r="H30" i="4"/>
  <c r="F30" i="4"/>
  <c r="E30" i="4"/>
  <c r="D30" i="4"/>
  <c r="C30" i="4"/>
  <c r="J24" i="4"/>
  <c r="I24" i="4"/>
  <c r="H24" i="4"/>
  <c r="G24" i="4"/>
  <c r="F24" i="4"/>
  <c r="E24" i="4"/>
  <c r="D24" i="4"/>
  <c r="C24" i="4"/>
  <c r="F16" i="4"/>
  <c r="E16" i="4"/>
  <c r="H16" i="4" s="1"/>
  <c r="H14" i="4" s="1"/>
  <c r="D16" i="4"/>
  <c r="J16" i="4" s="1"/>
  <c r="I14" i="4"/>
  <c r="C14" i="4"/>
  <c r="I10" i="4"/>
  <c r="J10" i="4" s="1"/>
  <c r="G10" i="4"/>
  <c r="I9" i="4"/>
  <c r="F9" i="4"/>
  <c r="D9" i="4"/>
  <c r="D7" i="4" s="1"/>
  <c r="C9" i="4"/>
  <c r="G109" i="4" l="1"/>
  <c r="C10" i="4"/>
  <c r="C50" i="4"/>
  <c r="E10" i="4"/>
  <c r="G9" i="4"/>
  <c r="G53" i="4"/>
  <c r="I59" i="4"/>
  <c r="J71" i="4"/>
  <c r="E107" i="4"/>
  <c r="J161" i="4"/>
  <c r="G30" i="4"/>
  <c r="J137" i="4"/>
  <c r="G163" i="4"/>
  <c r="F7" i="4"/>
  <c r="G7" i="4" s="1"/>
  <c r="G52" i="4"/>
  <c r="H59" i="4"/>
  <c r="H7" i="4" s="1"/>
  <c r="J81" i="4"/>
  <c r="J92" i="4"/>
  <c r="J116" i="4"/>
  <c r="G92" i="4"/>
  <c r="G40" i="4"/>
  <c r="F161" i="4"/>
  <c r="G161" i="4" s="1"/>
  <c r="G107" i="4"/>
  <c r="J59" i="4"/>
  <c r="C7" i="4"/>
  <c r="J79" i="4"/>
  <c r="E14" i="4"/>
  <c r="G16" i="4"/>
  <c r="G14" i="4" s="1"/>
  <c r="J30" i="4"/>
  <c r="G61" i="4"/>
  <c r="G71" i="4"/>
  <c r="F69" i="4"/>
  <c r="G81" i="4"/>
  <c r="D89" i="4"/>
  <c r="G134" i="4"/>
  <c r="J152" i="4"/>
  <c r="G59" i="4"/>
  <c r="J9" i="4"/>
  <c r="J61" i="4"/>
  <c r="G91" i="4"/>
  <c r="J109" i="4"/>
  <c r="E9" i="4"/>
  <c r="J40" i="4"/>
  <c r="E50" i="4"/>
  <c r="D69" i="4"/>
  <c r="J69" i="4" s="1"/>
  <c r="F89" i="4"/>
  <c r="G89" i="4" s="1"/>
  <c r="J98" i="4"/>
  <c r="I107" i="4"/>
  <c r="J107" i="4" s="1"/>
  <c r="G137" i="4"/>
  <c r="J145" i="4"/>
  <c r="G125" i="4"/>
  <c r="H89" i="4"/>
  <c r="H10" i="4"/>
  <c r="G116" i="4"/>
  <c r="J125" i="4"/>
  <c r="I7" i="4"/>
  <c r="J7" i="4" s="1"/>
  <c r="F79" i="4"/>
  <c r="G79" i="4" s="1"/>
  <c r="G118" i="4"/>
  <c r="G127" i="4"/>
  <c r="J163" i="4"/>
  <c r="H9" i="4"/>
  <c r="F14" i="4"/>
  <c r="D50" i="4"/>
  <c r="G50" i="4" s="1"/>
  <c r="E89" i="4"/>
  <c r="I89" i="4"/>
  <c r="J118" i="4"/>
  <c r="I134" i="4"/>
  <c r="J134" i="4" s="1"/>
  <c r="J127" i="4"/>
  <c r="D14" i="4"/>
  <c r="J14" i="4" s="1"/>
  <c r="G72" i="4"/>
  <c r="D143" i="4"/>
  <c r="G143" i="4" s="1"/>
  <c r="J143" i="4" l="1"/>
  <c r="G69" i="4"/>
  <c r="J89" i="4"/>
  <c r="E7" i="4"/>
  <c r="J50" i="4"/>
</calcChain>
</file>

<file path=xl/sharedStrings.xml><?xml version="1.0" encoding="utf-8"?>
<sst xmlns="http://schemas.openxmlformats.org/spreadsheetml/2006/main" count="220" uniqueCount="83">
  <si>
    <t>Информация о реализации в городе Орёл                                                                                                                                                          мероприятий муниципальной  программы «Развитие муниципальной системы образования города Орла на 2018-2020 годы»  в 2019 году</t>
  </si>
  <si>
    <t>Предусмотрено</t>
  </si>
  <si>
    <t>Финансирование</t>
  </si>
  <si>
    <t>Результаты выполнения мероприятий</t>
  </si>
  <si>
    <t>Достижение плановых значений целевых индикаторов</t>
  </si>
  <si>
    <t>№</t>
  </si>
  <si>
    <t>Наименование программного документа,</t>
  </si>
  <si>
    <t>в муниципальном бюджете,</t>
  </si>
  <si>
    <t>мероприятия, целевого индикатора</t>
  </si>
  <si>
    <t>тыс. рублей за 2018г.</t>
  </si>
  <si>
    <t>тыс. рублей за 2019г.</t>
  </si>
  <si>
    <t>Сумма, 2018</t>
  </si>
  <si>
    <t>Сумма, 2019</t>
  </si>
  <si>
    <t>Процент,</t>
  </si>
  <si>
    <t>тыс. рублей</t>
  </si>
  <si>
    <t>%</t>
  </si>
  <si>
    <t>Муниципальная целевая программа "Развитие системы образования города Орла на 2018-2020 годы», всего:</t>
  </si>
  <si>
    <t>в том числе:</t>
  </si>
  <si>
    <t>местный бюджет</t>
  </si>
  <si>
    <t>областной бюджет *)</t>
  </si>
  <si>
    <t>федеральный бюджет *)</t>
  </si>
  <si>
    <t>внебюджетные источники</t>
  </si>
  <si>
    <t>Из общего объема по мероприятиям программы:</t>
  </si>
  <si>
    <t>1.</t>
  </si>
  <si>
    <t>Выполнение текущего ремонта и укрепление материально-технической базы учреждений дошкольного образования,  всего:</t>
  </si>
  <si>
    <t>выполнены предписания надзорных органов</t>
  </si>
  <si>
    <t>2.</t>
  </si>
  <si>
    <t>Капитальный ремонт МБДОУ «Детский сад № 2»,  всего:</t>
  </si>
  <si>
    <t>3.</t>
  </si>
  <si>
    <t>Организация выплат КЧРП,  всего:</t>
  </si>
  <si>
    <t>выплачена КЧРП</t>
  </si>
  <si>
    <t>4.</t>
  </si>
  <si>
    <t>Обеспечение выплаты заработной платы работникам учреждений дошкольного образования в рамках выполнения муниципального задания,  всего:</t>
  </si>
  <si>
    <t>выполнен Указ Президента</t>
  </si>
  <si>
    <t>5.</t>
  </si>
  <si>
    <t>Организация мер социальной поддержки в виде школьного питания,  всего:</t>
  </si>
  <si>
    <t>оказана мера соцподдержки</t>
  </si>
  <si>
    <t>6.</t>
  </si>
  <si>
    <t>Организация летнего отдыха,  всего</t>
  </si>
  <si>
    <t>оргнизован летний отдых</t>
  </si>
  <si>
    <t>7.</t>
  </si>
  <si>
    <t>Выполнение текущего ремонта и укрепление материально-технической базы учреждений общего образования,  всего:</t>
  </si>
  <si>
    <t>Целевые индикаторы:</t>
  </si>
  <si>
    <t>8.</t>
  </si>
  <si>
    <t>Обеспечение выплаты заработной платы работникам учреждений общего образования,  всего:</t>
  </si>
  <si>
    <t>9.</t>
  </si>
  <si>
    <t>Организация выплаты педагогам за выполнение функции классного руководителя, всего:</t>
  </si>
  <si>
    <t>10.</t>
  </si>
  <si>
    <t>Обеспечение выплаты заработной платы работникам учреждений дополнительного образования,  всего:</t>
  </si>
  <si>
    <t>11.</t>
  </si>
  <si>
    <t>Обеспечение выплаты заработной платы работникам ЦПМСС,  всего:</t>
  </si>
  <si>
    <t>12.</t>
  </si>
  <si>
    <t>Обеспечение выплаты заработной платы работникам ИМЦ,  всего:</t>
  </si>
  <si>
    <t>14.</t>
  </si>
  <si>
    <t>Обеспечение поддержки педагогическим работникам, ставшими победителями и призерами городских конкурсов,  всего:</t>
  </si>
  <si>
    <t>15.</t>
  </si>
  <si>
    <t>Обеспечение мер социальной поддержки в виде единовременной и ежемесячных выплат молодым специалистам и педагогам, компенсация за санаторно-курортное лечение - всего:</t>
  </si>
  <si>
    <t>16.</t>
  </si>
  <si>
    <t>Выплата муниципальных премий лучшим педагогическим работникам - всего:</t>
  </si>
  <si>
    <t>17.</t>
  </si>
  <si>
    <t>Выплата муниципальных стипендий одаренным детям - всего:</t>
  </si>
  <si>
    <t xml:space="preserve">Заместитель начальника управления образования                                                         </t>
  </si>
  <si>
    <t>Н.В. Ерзина</t>
  </si>
  <si>
    <t>Капитальный ремонт МБОУ СОШ № 12,  всего:</t>
  </si>
  <si>
    <t>Освоено</t>
  </si>
  <si>
    <t>плановое значение на 2019 год</t>
  </si>
  <si>
    <t>фактически достигнуто</t>
  </si>
  <si>
    <t>доля дошкольных учреждений г.Орла обеспеченных текущим ремонтом и укреплением материально-технической базой в общем числе нуждающихся (%)</t>
  </si>
  <si>
    <t>доля дошкольного учреждения г.Орла обеспеченного капитальным ремонтом в общем числе нуждающихся (%)</t>
  </si>
  <si>
    <t>доля родителей (законных представителей), обеспеченных выплатами компенсации части родительской платы в общем числе нуждающихся (%)</t>
  </si>
  <si>
    <t>доля работников дошкольных учреждений г.Орла обеспеченных выплатой заработной платой в общем числе нуждающихся (%)</t>
  </si>
  <si>
    <t>доля образовательных учреждений г.Орла обеспеченных мерой социальной поддержки в виде питания в общем числе нуждающихся (%)</t>
  </si>
  <si>
    <t>доля обучающихся образовательных учреждений г.Орла обеспеченных летним отдыхом в общем числе нуждающихся (%)</t>
  </si>
  <si>
    <t>доля общеобразовательных учреждений г.Орла обеспеченных текущим ремонтом и укреплением материально-технической базой в общем числе нуждающихся (%)</t>
  </si>
  <si>
    <t>доля работников общеобразовательных учреждений г.Орла обеспеченных выплатой заработной платой в общем числе нуждающихся (%)</t>
  </si>
  <si>
    <t>доля классных руководителей общеобразовательных учреждений г.Орла обеспеченных выплатой  в общем числе нуждающихся (%)</t>
  </si>
  <si>
    <t>доля работников дополнительных учреждений г.Орла обеспеченных выплатой заработной платой в общем числе нуждающихся (%)</t>
  </si>
  <si>
    <t>доля работников ЦПМСС, обеспеченных выплатой заработной платой в общем числе нуждающихся (%)</t>
  </si>
  <si>
    <t>доля работников ИМЦ, обеспеченных выплатой заработной платой в общем числе нуждающихся (%)</t>
  </si>
  <si>
    <t>доля работников, ставшими победителями в общем числе нуждающихся (%)</t>
  </si>
  <si>
    <t>доля работников, обеспеченных мерами социальной поддержки в общем числе нуждающихся (%)</t>
  </si>
  <si>
    <t>доля педагогических работников, обеспеченных выплатой муниципальной премией в общем числе нуждающихся (%)</t>
  </si>
  <si>
    <t>доля обучающихся, обеспеченных выплатой муниципальной стипендией в общем числе нуждающихся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</si>
</sst>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/>
    <xf numFmtId="164" fontId="3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Fill="1"/>
    <xf numFmtId="0" fontId="1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4" fontId="3" fillId="0" borderId="6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164" fontId="2" fillId="0" borderId="8" xfId="0" applyNumberFormat="1" applyFont="1" applyFill="1" applyBorder="1" applyAlignment="1">
      <alignment vertical="top" wrapText="1"/>
    </xf>
    <xf numFmtId="164" fontId="2" fillId="0" borderId="9" xfId="0" applyNumberFormat="1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164" fontId="5" fillId="0" borderId="4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6" fillId="0" borderId="0" xfId="0" applyFont="1" applyFill="1"/>
    <xf numFmtId="0" fontId="7" fillId="0" borderId="4" xfId="0" applyFont="1" applyFill="1" applyBorder="1" applyAlignment="1">
      <alignment horizontal="left" wrapText="1" indent="2"/>
    </xf>
    <xf numFmtId="164" fontId="8" fillId="0" borderId="4" xfId="0" applyNumberFormat="1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9" fontId="5" fillId="0" borderId="4" xfId="0" applyNumberFormat="1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164" fontId="8" fillId="2" borderId="4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justify" wrapText="1"/>
    </xf>
    <xf numFmtId="0" fontId="4" fillId="0" borderId="0" xfId="0" applyFont="1" applyAlignment="1"/>
    <xf numFmtId="164" fontId="2" fillId="0" borderId="0" xfId="0" applyNumberFormat="1" applyFont="1" applyFill="1"/>
    <xf numFmtId="164" fontId="9" fillId="0" borderId="0" xfId="0" applyNumberFormat="1" applyFont="1" applyFill="1"/>
    <xf numFmtId="0" fontId="9" fillId="0" borderId="0" xfId="0" applyFont="1" applyFill="1"/>
    <xf numFmtId="164" fontId="8" fillId="3" borderId="4" xfId="0" applyNumberFormat="1" applyFont="1" applyFill="1" applyBorder="1" applyAlignment="1">
      <alignment horizontal="center" vertical="top" wrapText="1"/>
    </xf>
    <xf numFmtId="165" fontId="6" fillId="0" borderId="0" xfId="0" applyNumberFormat="1" applyFont="1" applyFill="1"/>
    <xf numFmtId="165" fontId="2" fillId="0" borderId="0" xfId="0" applyNumberFormat="1" applyFont="1" applyFill="1"/>
    <xf numFmtId="0" fontId="7" fillId="3" borderId="4" xfId="0" applyFont="1" applyFill="1" applyBorder="1" applyAlignment="1">
      <alignment horizontal="left" wrapText="1" indent="2"/>
    </xf>
    <xf numFmtId="164" fontId="5" fillId="3" borderId="4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9" fontId="8" fillId="0" borderId="4" xfId="0" applyNumberFormat="1" applyFont="1" applyFill="1" applyBorder="1" applyAlignment="1">
      <alignment horizontal="center" vertical="top" wrapText="1"/>
    </xf>
    <xf numFmtId="9" fontId="8" fillId="3" borderId="4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1"/>
  <sheetViews>
    <sheetView tabSelected="1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S81" sqref="S81"/>
    </sheetView>
  </sheetViews>
  <sheetFormatPr defaultColWidth="9.140625" defaultRowHeight="15" x14ac:dyDescent="0.25"/>
  <cols>
    <col min="1" max="1" width="5.42578125" style="5" customWidth="1"/>
    <col min="2" max="2" width="43.28515625" style="5" customWidth="1"/>
    <col min="3" max="3" width="15.140625" style="28" hidden="1" customWidth="1"/>
    <col min="4" max="4" width="15.140625" style="28" customWidth="1"/>
    <col min="5" max="5" width="11.5703125" style="28" hidden="1" customWidth="1"/>
    <col min="6" max="6" width="11.5703125" style="28" customWidth="1"/>
    <col min="7" max="7" width="8" style="28" customWidth="1"/>
    <col min="8" max="8" width="11.5703125" style="28" hidden="1" customWidth="1"/>
    <col min="9" max="9" width="14" style="28" customWidth="1"/>
    <col min="10" max="10" width="7.7109375" style="28" customWidth="1"/>
    <col min="11" max="11" width="10.5703125" style="5" customWidth="1"/>
    <col min="12" max="12" width="7.42578125" style="5" customWidth="1"/>
    <col min="13" max="13" width="13.140625" style="5" customWidth="1"/>
    <col min="14" max="16384" width="9.140625" style="5"/>
  </cols>
  <sheetData>
    <row r="1" spans="1:15" s="1" customFormat="1" ht="44.2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3" spans="1:15" ht="18.75" customHeight="1" x14ac:dyDescent="0.25">
      <c r="A3" s="2"/>
      <c r="B3" s="3"/>
      <c r="C3" s="4" t="s">
        <v>1</v>
      </c>
      <c r="D3" s="4" t="s">
        <v>1</v>
      </c>
      <c r="E3" s="45" t="s">
        <v>2</v>
      </c>
      <c r="F3" s="45"/>
      <c r="G3" s="46"/>
      <c r="H3" s="46" t="s">
        <v>64</v>
      </c>
      <c r="I3" s="46"/>
      <c r="J3" s="46"/>
      <c r="K3" s="46" t="s">
        <v>3</v>
      </c>
      <c r="L3" s="46" t="s">
        <v>4</v>
      </c>
    </row>
    <row r="4" spans="1:15" ht="42" customHeight="1" x14ac:dyDescent="0.25">
      <c r="A4" s="6" t="s">
        <v>5</v>
      </c>
      <c r="B4" s="7" t="s">
        <v>6</v>
      </c>
      <c r="C4" s="8" t="s">
        <v>7</v>
      </c>
      <c r="D4" s="8" t="s">
        <v>7</v>
      </c>
      <c r="E4" s="45"/>
      <c r="F4" s="45"/>
      <c r="G4" s="46"/>
      <c r="H4" s="46"/>
      <c r="I4" s="46"/>
      <c r="J4" s="46"/>
      <c r="K4" s="46"/>
      <c r="L4" s="46"/>
    </row>
    <row r="5" spans="1:15" ht="41.25" customHeight="1" x14ac:dyDescent="0.25">
      <c r="A5" s="9"/>
      <c r="B5" s="7" t="s">
        <v>8</v>
      </c>
      <c r="C5" s="8" t="s">
        <v>9</v>
      </c>
      <c r="D5" s="8" t="s">
        <v>10</v>
      </c>
      <c r="E5" s="10" t="s">
        <v>11</v>
      </c>
      <c r="F5" s="10" t="s">
        <v>12</v>
      </c>
      <c r="G5" s="11" t="s">
        <v>13</v>
      </c>
      <c r="H5" s="11" t="s">
        <v>11</v>
      </c>
      <c r="I5" s="11" t="s">
        <v>12</v>
      </c>
      <c r="J5" s="11" t="s">
        <v>13</v>
      </c>
      <c r="K5" s="46"/>
      <c r="L5" s="46"/>
    </row>
    <row r="6" spans="1:15" ht="16.5" customHeight="1" x14ac:dyDescent="0.25">
      <c r="A6" s="12"/>
      <c r="B6" s="12"/>
      <c r="C6" s="13"/>
      <c r="D6" s="14"/>
      <c r="E6" s="10" t="s">
        <v>14</v>
      </c>
      <c r="F6" s="10"/>
      <c r="G6" s="11" t="s">
        <v>15</v>
      </c>
      <c r="H6" s="11" t="s">
        <v>14</v>
      </c>
      <c r="I6" s="11"/>
      <c r="J6" s="11" t="s">
        <v>15</v>
      </c>
      <c r="K6" s="46"/>
      <c r="L6" s="46"/>
    </row>
    <row r="7" spans="1:15" s="18" customFormat="1" ht="55.5" customHeight="1" x14ac:dyDescent="0.25">
      <c r="A7" s="42"/>
      <c r="B7" s="15" t="s">
        <v>16</v>
      </c>
      <c r="C7" s="16">
        <f>C14+C24+C40+C50+C59+C69+C79+C89+C98+C107+C116+C125+C134+C143+C152+C161</f>
        <v>2979093.4223500006</v>
      </c>
      <c r="D7" s="16">
        <f>SUM(D9:D10)</f>
        <v>4265413.4012799999</v>
      </c>
      <c r="E7" s="16">
        <f>E14+E24+E40+E50+E59+E69+E79+E89+E98+E107+E116+E125+E134+E143+E152+E161</f>
        <v>2863846.8824099996</v>
      </c>
      <c r="F7" s="16">
        <f>SUM(F9:F10)</f>
        <v>3704872.3932699999</v>
      </c>
      <c r="G7" s="16">
        <f>F7/D7*100</f>
        <v>86.858460006671606</v>
      </c>
      <c r="H7" s="16">
        <f>H14+H24+H40+H50+H59+H69+H79+H89+H98+H107+H116+H125+H134+H143+H152+H161</f>
        <v>3042013.85286</v>
      </c>
      <c r="I7" s="16">
        <f>SUM(I9:I10)</f>
        <v>3857357.7851299997</v>
      </c>
      <c r="J7" s="16">
        <f>I7/D7*100</f>
        <v>90.433386456104174</v>
      </c>
      <c r="K7" s="17"/>
      <c r="L7" s="17"/>
      <c r="M7" s="32"/>
    </row>
    <row r="8" spans="1:15" ht="13.5" customHeight="1" x14ac:dyDescent="0.25">
      <c r="A8" s="42"/>
      <c r="B8" s="19" t="s">
        <v>17</v>
      </c>
      <c r="C8" s="20"/>
      <c r="D8" s="20"/>
      <c r="E8" s="20"/>
      <c r="F8" s="20"/>
      <c r="G8" s="16"/>
      <c r="H8" s="20"/>
      <c r="I8" s="20"/>
      <c r="J8" s="16"/>
      <c r="K8" s="21"/>
      <c r="L8" s="21"/>
      <c r="M8" s="32"/>
    </row>
    <row r="9" spans="1:15" ht="13.5" customHeight="1" x14ac:dyDescent="0.25">
      <c r="A9" s="42"/>
      <c r="B9" s="19" t="s">
        <v>18</v>
      </c>
      <c r="C9" s="20">
        <f>C16+C26+C42+C52+C61+C71+C81+C91+C100+C109+C118+C127+C136+C145+C154+C163</f>
        <v>900090.22234999994</v>
      </c>
      <c r="D9" s="31">
        <f>1690796.32654+29267.2+177579.4</f>
        <v>1897642.9265399999</v>
      </c>
      <c r="E9" s="31">
        <f>E16+E26+E42+E52+E61+E71+E81+E91+E100+E109+E118+E127+E136+E145+E154+E163</f>
        <v>795796.7824100001</v>
      </c>
      <c r="F9" s="31">
        <f>1284679.19617+26804.3+176838.5</f>
        <v>1488321.9961699999</v>
      </c>
      <c r="G9" s="16">
        <f t="shared" ref="G9:G101" si="0">F9/D9*100</f>
        <v>78.430034194245351</v>
      </c>
      <c r="H9" s="20">
        <f>H16+H26+H42+H52+H61+H71+H81+H91+H100+H109+H118+H127+H136+H145+H154+H163</f>
        <v>919541.65286000003</v>
      </c>
      <c r="I9" s="20">
        <f>18963.50587+11682.2796+19071.24767+18525.6919+1328628+26804.3+176838.5</f>
        <v>1600513.52504</v>
      </c>
      <c r="J9" s="16">
        <f t="shared" ref="J9:J101" si="1">I9/D9*100</f>
        <v>84.342185911563433</v>
      </c>
      <c r="K9" s="21"/>
      <c r="L9" s="21"/>
      <c r="M9" s="32"/>
      <c r="O9" s="33"/>
    </row>
    <row r="10" spans="1:15" ht="13.5" customHeight="1" x14ac:dyDescent="0.25">
      <c r="A10" s="42"/>
      <c r="B10" s="19" t="s">
        <v>19</v>
      </c>
      <c r="C10" s="20">
        <f>C17+C27+C43+C53+C62+C72+C82+C92+C101+C110+C119+C128+C137+C146+C155+C164</f>
        <v>2079003.2</v>
      </c>
      <c r="D10" s="31">
        <v>2367770.47474</v>
      </c>
      <c r="E10" s="31">
        <f>E17+E27+E43+E53+E62+E72+E82+E92+E101+E110+E119+E128+E137+E146+E155+E164</f>
        <v>2068050.0999999999</v>
      </c>
      <c r="F10" s="31">
        <v>2216550.3971000002</v>
      </c>
      <c r="G10" s="16">
        <f t="shared" si="0"/>
        <v>93.613397951648807</v>
      </c>
      <c r="H10" s="20">
        <f>H17+H27+H43+H53+H62+H72+H82+H92+H101+H110+H119+H128+H137+H146+H155+H164</f>
        <v>2122472.1999999997</v>
      </c>
      <c r="I10" s="20">
        <f>22194.86053+30790.10313+34686.49643+2169172.8</f>
        <v>2256844.26009</v>
      </c>
      <c r="J10" s="16">
        <f t="shared" si="1"/>
        <v>95.315161843878442</v>
      </c>
      <c r="K10" s="21"/>
      <c r="L10" s="21"/>
      <c r="M10" s="32"/>
    </row>
    <row r="11" spans="1:15" ht="13.5" customHeight="1" x14ac:dyDescent="0.25">
      <c r="A11" s="42"/>
      <c r="B11" s="19" t="s">
        <v>20</v>
      </c>
      <c r="C11" s="20"/>
      <c r="D11" s="20"/>
      <c r="E11" s="20"/>
      <c r="F11" s="20"/>
      <c r="G11" s="16"/>
      <c r="H11" s="20"/>
      <c r="I11" s="20"/>
      <c r="J11" s="16"/>
      <c r="K11" s="21"/>
      <c r="L11" s="21"/>
      <c r="M11" s="32"/>
    </row>
    <row r="12" spans="1:15" ht="13.5" customHeight="1" x14ac:dyDescent="0.25">
      <c r="A12" s="42"/>
      <c r="B12" s="19" t="s">
        <v>21</v>
      </c>
      <c r="C12" s="20"/>
      <c r="D12" s="20"/>
      <c r="E12" s="20"/>
      <c r="F12" s="20"/>
      <c r="G12" s="16"/>
      <c r="H12" s="20"/>
      <c r="I12" s="20"/>
      <c r="J12" s="16"/>
      <c r="K12" s="21"/>
      <c r="L12" s="21"/>
      <c r="M12" s="32"/>
    </row>
    <row r="13" spans="1:15" ht="33.6" customHeight="1" x14ac:dyDescent="0.25">
      <c r="A13" s="42"/>
      <c r="B13" s="22" t="s">
        <v>22</v>
      </c>
      <c r="C13" s="20"/>
      <c r="D13" s="20"/>
      <c r="E13" s="20"/>
      <c r="F13" s="20"/>
      <c r="G13" s="16"/>
      <c r="H13" s="20"/>
      <c r="I13" s="20"/>
      <c r="J13" s="16"/>
      <c r="K13" s="21"/>
      <c r="L13" s="21"/>
      <c r="M13" s="32"/>
    </row>
    <row r="14" spans="1:15" s="18" customFormat="1" ht="62.45" customHeight="1" x14ac:dyDescent="0.25">
      <c r="A14" s="42" t="s">
        <v>23</v>
      </c>
      <c r="B14" s="15" t="s">
        <v>24</v>
      </c>
      <c r="C14" s="16">
        <f>C16+C17</f>
        <v>7196.3</v>
      </c>
      <c r="D14" s="16">
        <f>D16</f>
        <v>14241.90661</v>
      </c>
      <c r="E14" s="16">
        <f t="shared" ref="E14:G14" si="2">E16</f>
        <v>762.54250000000002</v>
      </c>
      <c r="F14" s="16">
        <f t="shared" si="2"/>
        <v>7196.2668800000001</v>
      </c>
      <c r="G14" s="16">
        <f t="shared" si="2"/>
        <v>50.52881666101586</v>
      </c>
      <c r="H14" s="16">
        <f>H16+H17</f>
        <v>1302.5425000000005</v>
      </c>
      <c r="I14" s="16">
        <f>SUM(I16:I19)</f>
        <v>8034.1</v>
      </c>
      <c r="J14" s="16">
        <f t="shared" si="1"/>
        <v>56.411688547085625</v>
      </c>
      <c r="K14" s="17" t="s">
        <v>25</v>
      </c>
      <c r="L14" s="23">
        <v>1</v>
      </c>
      <c r="M14" s="32"/>
    </row>
    <row r="15" spans="1:15" x14ac:dyDescent="0.25">
      <c r="A15" s="42"/>
      <c r="B15" s="19" t="s">
        <v>17</v>
      </c>
      <c r="C15" s="20"/>
      <c r="D15" s="20"/>
      <c r="E15" s="20"/>
      <c r="F15" s="20"/>
      <c r="G15" s="16"/>
      <c r="H15" s="20"/>
      <c r="I15" s="20"/>
      <c r="J15" s="16"/>
      <c r="K15" s="21"/>
      <c r="L15" s="24"/>
      <c r="M15" s="32"/>
    </row>
    <row r="16" spans="1:15" x14ac:dyDescent="0.25">
      <c r="A16" s="42"/>
      <c r="B16" s="34" t="s">
        <v>18</v>
      </c>
      <c r="C16" s="31">
        <v>7196.3</v>
      </c>
      <c r="D16" s="31">
        <f>5030.3117+7790.315+1421.27991</f>
        <v>14241.90661</v>
      </c>
      <c r="E16" s="31">
        <f>2262.1-E26</f>
        <v>762.54250000000002</v>
      </c>
      <c r="F16" s="31">
        <f>5030.3117+1187.31195+978.64323</f>
        <v>7196.2668800000001</v>
      </c>
      <c r="G16" s="16">
        <f t="shared" si="0"/>
        <v>50.52881666101586</v>
      </c>
      <c r="H16" s="20">
        <f>E16+5030.3-4490.3</f>
        <v>1302.5425000000005</v>
      </c>
      <c r="I16" s="20">
        <v>8034.1</v>
      </c>
      <c r="J16" s="16">
        <f t="shared" si="1"/>
        <v>56.411688547085625</v>
      </c>
      <c r="K16" s="21"/>
      <c r="L16" s="24"/>
      <c r="M16" s="32"/>
    </row>
    <row r="17" spans="1:13" x14ac:dyDescent="0.25">
      <c r="A17" s="42"/>
      <c r="B17" s="19" t="s">
        <v>19</v>
      </c>
      <c r="C17" s="20"/>
      <c r="D17" s="20"/>
      <c r="E17" s="20"/>
      <c r="F17" s="20"/>
      <c r="G17" s="16"/>
      <c r="H17" s="20"/>
      <c r="I17" s="20"/>
      <c r="J17" s="16"/>
      <c r="K17" s="21"/>
      <c r="L17" s="24"/>
      <c r="M17" s="32"/>
    </row>
    <row r="18" spans="1:13" x14ac:dyDescent="0.25">
      <c r="A18" s="42"/>
      <c r="B18" s="19" t="s">
        <v>20</v>
      </c>
      <c r="C18" s="20"/>
      <c r="D18" s="20"/>
      <c r="E18" s="20"/>
      <c r="F18" s="20"/>
      <c r="G18" s="16"/>
      <c r="H18" s="20"/>
      <c r="I18" s="20"/>
      <c r="J18" s="16"/>
      <c r="K18" s="21"/>
      <c r="L18" s="24"/>
      <c r="M18" s="32"/>
    </row>
    <row r="19" spans="1:13" ht="15.75" customHeight="1" x14ac:dyDescent="0.25">
      <c r="A19" s="42"/>
      <c r="B19" s="19" t="s">
        <v>21</v>
      </c>
      <c r="C19" s="20"/>
      <c r="D19" s="20"/>
      <c r="E19" s="20"/>
      <c r="F19" s="20"/>
      <c r="G19" s="16"/>
      <c r="H19" s="20"/>
      <c r="I19" s="20"/>
      <c r="J19" s="16"/>
      <c r="K19" s="21"/>
      <c r="L19" s="24"/>
      <c r="M19" s="32"/>
    </row>
    <row r="20" spans="1:13" ht="15.75" customHeight="1" x14ac:dyDescent="0.25">
      <c r="A20" s="37"/>
      <c r="B20" s="19" t="s">
        <v>42</v>
      </c>
      <c r="C20" s="20"/>
      <c r="D20" s="20"/>
      <c r="E20" s="20"/>
      <c r="F20" s="20"/>
      <c r="G20" s="16"/>
      <c r="H20" s="20"/>
      <c r="I20" s="20"/>
      <c r="J20" s="16"/>
      <c r="K20" s="21"/>
      <c r="L20" s="24"/>
      <c r="M20" s="32"/>
    </row>
    <row r="21" spans="1:13" ht="39" customHeight="1" x14ac:dyDescent="0.25">
      <c r="A21" s="37"/>
      <c r="B21" s="34" t="s">
        <v>67</v>
      </c>
      <c r="C21" s="20"/>
      <c r="D21" s="20"/>
      <c r="E21" s="20"/>
      <c r="F21" s="20"/>
      <c r="G21" s="16"/>
      <c r="H21" s="20"/>
      <c r="I21" s="20"/>
      <c r="J21" s="16"/>
      <c r="K21" s="21"/>
      <c r="L21" s="24"/>
      <c r="M21" s="32"/>
    </row>
    <row r="22" spans="1:13" ht="15" customHeight="1" x14ac:dyDescent="0.25">
      <c r="A22" s="37"/>
      <c r="B22" s="19" t="s">
        <v>65</v>
      </c>
      <c r="C22" s="20"/>
      <c r="D22" s="20"/>
      <c r="E22" s="20"/>
      <c r="F22" s="20"/>
      <c r="G22" s="16"/>
      <c r="H22" s="20"/>
      <c r="I22" s="20"/>
      <c r="J22" s="16"/>
      <c r="K22" s="21"/>
      <c r="L22" s="40">
        <v>1</v>
      </c>
      <c r="M22" s="32"/>
    </row>
    <row r="23" spans="1:13" ht="15" customHeight="1" x14ac:dyDescent="0.25">
      <c r="A23" s="37"/>
      <c r="B23" s="19" t="s">
        <v>66</v>
      </c>
      <c r="C23" s="20"/>
      <c r="D23" s="20"/>
      <c r="E23" s="20"/>
      <c r="F23" s="20"/>
      <c r="G23" s="16"/>
      <c r="H23" s="20"/>
      <c r="I23" s="20"/>
      <c r="J23" s="16"/>
      <c r="K23" s="21"/>
      <c r="L23" s="40">
        <v>1</v>
      </c>
      <c r="M23" s="32"/>
    </row>
    <row r="24" spans="1:13" s="18" customFormat="1" ht="34.5" customHeight="1" x14ac:dyDescent="0.25">
      <c r="A24" s="42" t="s">
        <v>26</v>
      </c>
      <c r="B24" s="15" t="s">
        <v>27</v>
      </c>
      <c r="C24" s="16">
        <f>C26+C27</f>
        <v>0</v>
      </c>
      <c r="D24" s="16">
        <f>D26</f>
        <v>0</v>
      </c>
      <c r="E24" s="16">
        <f t="shared" ref="E24:J24" si="3">E26</f>
        <v>1499.5574999999999</v>
      </c>
      <c r="F24" s="16">
        <f t="shared" si="3"/>
        <v>0</v>
      </c>
      <c r="G24" s="16">
        <f t="shared" si="3"/>
        <v>0</v>
      </c>
      <c r="H24" s="16">
        <f t="shared" si="3"/>
        <v>5989.8770000000004</v>
      </c>
      <c r="I24" s="16">
        <f t="shared" si="3"/>
        <v>0</v>
      </c>
      <c r="J24" s="16">
        <f t="shared" si="3"/>
        <v>0</v>
      </c>
      <c r="K24" s="17">
        <v>0</v>
      </c>
      <c r="L24" s="23">
        <v>0</v>
      </c>
      <c r="M24" s="32"/>
    </row>
    <row r="25" spans="1:13" ht="15.75" customHeight="1" x14ac:dyDescent="0.25">
      <c r="A25" s="42"/>
      <c r="B25" s="19" t="s">
        <v>17</v>
      </c>
      <c r="C25" s="20"/>
      <c r="D25" s="20"/>
      <c r="E25" s="20"/>
      <c r="F25" s="20"/>
      <c r="G25" s="16"/>
      <c r="H25" s="20"/>
      <c r="I25" s="20"/>
      <c r="J25" s="16"/>
      <c r="K25" s="21"/>
      <c r="L25" s="24"/>
      <c r="M25" s="32"/>
    </row>
    <row r="26" spans="1:13" ht="15.75" customHeight="1" x14ac:dyDescent="0.25">
      <c r="A26" s="42"/>
      <c r="B26" s="19" t="s">
        <v>18</v>
      </c>
      <c r="C26" s="25">
        <v>0</v>
      </c>
      <c r="D26" s="31">
        <v>0</v>
      </c>
      <c r="E26" s="20">
        <v>1499.5574999999999</v>
      </c>
      <c r="F26" s="20">
        <v>0</v>
      </c>
      <c r="G26" s="16">
        <v>0</v>
      </c>
      <c r="H26" s="20">
        <v>5989.8770000000004</v>
      </c>
      <c r="I26" s="20">
        <v>0</v>
      </c>
      <c r="J26" s="16">
        <v>0</v>
      </c>
      <c r="K26" s="21">
        <v>0</v>
      </c>
      <c r="L26" s="24">
        <v>0</v>
      </c>
      <c r="M26" s="32"/>
    </row>
    <row r="27" spans="1:13" ht="15.75" customHeight="1" x14ac:dyDescent="0.25">
      <c r="A27" s="42"/>
      <c r="B27" s="19" t="s">
        <v>19</v>
      </c>
      <c r="C27" s="20"/>
      <c r="D27" s="20"/>
      <c r="E27" s="20"/>
      <c r="F27" s="20"/>
      <c r="G27" s="16"/>
      <c r="H27" s="20"/>
      <c r="I27" s="20"/>
      <c r="J27" s="16"/>
      <c r="K27" s="21"/>
      <c r="L27" s="24"/>
      <c r="M27" s="32"/>
    </row>
    <row r="28" spans="1:13" ht="15.75" customHeight="1" x14ac:dyDescent="0.25">
      <c r="A28" s="42"/>
      <c r="B28" s="19" t="s">
        <v>20</v>
      </c>
      <c r="C28" s="20"/>
      <c r="D28" s="20"/>
      <c r="E28" s="20"/>
      <c r="F28" s="20"/>
      <c r="G28" s="16"/>
      <c r="H28" s="20"/>
      <c r="I28" s="20"/>
      <c r="J28" s="16"/>
      <c r="K28" s="21"/>
      <c r="L28" s="24"/>
      <c r="M28" s="32"/>
    </row>
    <row r="29" spans="1:13" ht="15.75" customHeight="1" x14ac:dyDescent="0.25">
      <c r="A29" s="42"/>
      <c r="B29" s="19" t="s">
        <v>21</v>
      </c>
      <c r="C29" s="20"/>
      <c r="D29" s="20"/>
      <c r="E29" s="20"/>
      <c r="F29" s="20"/>
      <c r="G29" s="16"/>
      <c r="H29" s="20"/>
      <c r="I29" s="20"/>
      <c r="J29" s="16"/>
      <c r="K29" s="21"/>
      <c r="L29" s="24"/>
      <c r="M29" s="32"/>
    </row>
    <row r="30" spans="1:13" ht="38.25" hidden="1" customHeight="1" x14ac:dyDescent="0.25">
      <c r="A30" s="43"/>
      <c r="B30" s="15" t="s">
        <v>63</v>
      </c>
      <c r="C30" s="16">
        <f>C32+C33</f>
        <v>0</v>
      </c>
      <c r="D30" s="16">
        <f>SUM(D32:D35)</f>
        <v>1400</v>
      </c>
      <c r="E30" s="16">
        <f>E32+E33</f>
        <v>0</v>
      </c>
      <c r="F30" s="16">
        <f>SUM(F32:F35)</f>
        <v>81</v>
      </c>
      <c r="G30" s="16">
        <f t="shared" si="0"/>
        <v>5.7857142857142856</v>
      </c>
      <c r="H30" s="16">
        <f>H32+H33</f>
        <v>0</v>
      </c>
      <c r="I30" s="16">
        <f>SUM(I32:I35)</f>
        <v>497</v>
      </c>
      <c r="J30" s="16">
        <f t="shared" si="1"/>
        <v>35.5</v>
      </c>
      <c r="K30" s="21"/>
      <c r="L30" s="24"/>
      <c r="M30" s="32"/>
    </row>
    <row r="31" spans="1:13" ht="15.75" hidden="1" customHeight="1" x14ac:dyDescent="0.25">
      <c r="A31" s="43"/>
      <c r="B31" s="19" t="s">
        <v>17</v>
      </c>
      <c r="C31" s="20"/>
      <c r="D31" s="20"/>
      <c r="E31" s="20"/>
      <c r="F31" s="20"/>
      <c r="G31" s="16"/>
      <c r="H31" s="20"/>
      <c r="I31" s="20"/>
      <c r="J31" s="16"/>
      <c r="K31" s="21"/>
      <c r="L31" s="24"/>
      <c r="M31" s="32"/>
    </row>
    <row r="32" spans="1:13" ht="15.75" hidden="1" customHeight="1" x14ac:dyDescent="0.25">
      <c r="A32" s="43"/>
      <c r="B32" s="19" t="s">
        <v>18</v>
      </c>
      <c r="C32" s="25">
        <v>0</v>
      </c>
      <c r="D32" s="25">
        <v>1400</v>
      </c>
      <c r="E32" s="20"/>
      <c r="F32" s="20">
        <v>81</v>
      </c>
      <c r="G32" s="16">
        <f t="shared" si="0"/>
        <v>5.7857142857142856</v>
      </c>
      <c r="H32" s="20"/>
      <c r="I32" s="20">
        <v>497</v>
      </c>
      <c r="J32" s="16">
        <f t="shared" si="1"/>
        <v>35.5</v>
      </c>
      <c r="K32" s="21"/>
      <c r="L32" s="24"/>
      <c r="M32" s="32"/>
    </row>
    <row r="33" spans="1:13" ht="15.75" hidden="1" customHeight="1" x14ac:dyDescent="0.25">
      <c r="A33" s="43"/>
      <c r="B33" s="19" t="s">
        <v>19</v>
      </c>
      <c r="C33" s="20"/>
      <c r="D33" s="20"/>
      <c r="E33" s="20"/>
      <c r="F33" s="20"/>
      <c r="G33" s="16"/>
      <c r="H33" s="20"/>
      <c r="I33" s="20"/>
      <c r="J33" s="16"/>
      <c r="K33" s="21"/>
      <c r="L33" s="24"/>
      <c r="M33" s="32"/>
    </row>
    <row r="34" spans="1:13" ht="15.75" hidden="1" customHeight="1" x14ac:dyDescent="0.25">
      <c r="A34" s="43"/>
      <c r="B34" s="19" t="s">
        <v>20</v>
      </c>
      <c r="C34" s="20"/>
      <c r="D34" s="20"/>
      <c r="E34" s="20"/>
      <c r="F34" s="20"/>
      <c r="G34" s="16"/>
      <c r="H34" s="20"/>
      <c r="I34" s="20"/>
      <c r="J34" s="16"/>
      <c r="K34" s="21"/>
      <c r="L34" s="24"/>
      <c r="M34" s="32"/>
    </row>
    <row r="35" spans="1:13" ht="15.75" hidden="1" customHeight="1" x14ac:dyDescent="0.25">
      <c r="A35" s="43"/>
      <c r="B35" s="19" t="s">
        <v>21</v>
      </c>
      <c r="C35" s="20"/>
      <c r="D35" s="20"/>
      <c r="E35" s="20"/>
      <c r="F35" s="20"/>
      <c r="G35" s="16"/>
      <c r="H35" s="20"/>
      <c r="I35" s="20"/>
      <c r="J35" s="16"/>
      <c r="K35" s="21"/>
      <c r="L35" s="24"/>
      <c r="M35" s="32"/>
    </row>
    <row r="36" spans="1:13" ht="16.899999999999999" customHeight="1" x14ac:dyDescent="0.25">
      <c r="A36" s="38"/>
      <c r="B36" s="19" t="s">
        <v>42</v>
      </c>
      <c r="C36" s="20"/>
      <c r="D36" s="20"/>
      <c r="E36" s="20"/>
      <c r="F36" s="20"/>
      <c r="G36" s="16"/>
      <c r="H36" s="20"/>
      <c r="I36" s="20"/>
      <c r="J36" s="16"/>
      <c r="K36" s="21"/>
      <c r="L36" s="24"/>
      <c r="M36" s="32"/>
    </row>
    <row r="37" spans="1:13" ht="43.15" customHeight="1" x14ac:dyDescent="0.25">
      <c r="A37" s="38"/>
      <c r="B37" s="34" t="s">
        <v>68</v>
      </c>
      <c r="C37" s="20"/>
      <c r="D37" s="20"/>
      <c r="E37" s="20"/>
      <c r="F37" s="20"/>
      <c r="G37" s="16"/>
      <c r="H37" s="20"/>
      <c r="I37" s="20"/>
      <c r="J37" s="16"/>
      <c r="K37" s="21"/>
      <c r="L37" s="24"/>
      <c r="M37" s="32"/>
    </row>
    <row r="38" spans="1:13" ht="15.75" customHeight="1" x14ac:dyDescent="0.25">
      <c r="A38" s="38"/>
      <c r="B38" s="19" t="s">
        <v>65</v>
      </c>
      <c r="C38" s="20"/>
      <c r="D38" s="20"/>
      <c r="E38" s="20"/>
      <c r="F38" s="20"/>
      <c r="G38" s="16"/>
      <c r="H38" s="20"/>
      <c r="I38" s="20"/>
      <c r="J38" s="16"/>
      <c r="K38" s="21"/>
      <c r="L38" s="24">
        <v>0</v>
      </c>
      <c r="M38" s="32"/>
    </row>
    <row r="39" spans="1:13" ht="15.75" customHeight="1" x14ac:dyDescent="0.25">
      <c r="A39" s="38"/>
      <c r="B39" s="19" t="s">
        <v>66</v>
      </c>
      <c r="C39" s="20"/>
      <c r="D39" s="20"/>
      <c r="E39" s="20"/>
      <c r="F39" s="20"/>
      <c r="G39" s="16"/>
      <c r="H39" s="20"/>
      <c r="I39" s="20"/>
      <c r="J39" s="16"/>
      <c r="K39" s="21"/>
      <c r="L39" s="24">
        <v>0</v>
      </c>
      <c r="M39" s="32"/>
    </row>
    <row r="40" spans="1:13" s="18" customFormat="1" ht="25.5" customHeight="1" x14ac:dyDescent="0.25">
      <c r="A40" s="42" t="s">
        <v>28</v>
      </c>
      <c r="B40" s="15" t="s">
        <v>29</v>
      </c>
      <c r="C40" s="16">
        <f>C42+C43</f>
        <v>59216.2</v>
      </c>
      <c r="D40" s="16">
        <f>SUM(D42:D45)</f>
        <v>64534.9</v>
      </c>
      <c r="E40" s="16">
        <f>E42+E43</f>
        <v>59216.2</v>
      </c>
      <c r="F40" s="16">
        <f>SUM(F42:F45)</f>
        <v>63615.8</v>
      </c>
      <c r="G40" s="16">
        <f t="shared" si="0"/>
        <v>98.575809368264316</v>
      </c>
      <c r="H40" s="16">
        <f>H42+H43</f>
        <v>59216.2</v>
      </c>
      <c r="I40" s="16">
        <f>SUM(I42:I45)</f>
        <v>63615.8</v>
      </c>
      <c r="J40" s="16">
        <f t="shared" si="1"/>
        <v>98.575809368264316</v>
      </c>
      <c r="K40" s="17" t="s">
        <v>30</v>
      </c>
      <c r="L40" s="23">
        <v>1</v>
      </c>
      <c r="M40" s="32"/>
    </row>
    <row r="41" spans="1:13" ht="18" customHeight="1" x14ac:dyDescent="0.25">
      <c r="A41" s="42"/>
      <c r="B41" s="19" t="s">
        <v>17</v>
      </c>
      <c r="C41" s="20"/>
      <c r="D41" s="20"/>
      <c r="E41" s="20"/>
      <c r="F41" s="20"/>
      <c r="G41" s="16"/>
      <c r="H41" s="20"/>
      <c r="I41" s="20"/>
      <c r="J41" s="16"/>
      <c r="K41" s="21"/>
      <c r="L41" s="24"/>
      <c r="M41" s="32"/>
    </row>
    <row r="42" spans="1:13" ht="18" customHeight="1" x14ac:dyDescent="0.25">
      <c r="A42" s="42"/>
      <c r="B42" s="19" t="s">
        <v>18</v>
      </c>
      <c r="C42" s="20"/>
      <c r="D42" s="20"/>
      <c r="E42" s="20"/>
      <c r="F42" s="20"/>
      <c r="G42" s="16"/>
      <c r="H42" s="20"/>
      <c r="I42" s="20"/>
      <c r="J42" s="16"/>
      <c r="K42" s="21"/>
      <c r="L42" s="24"/>
      <c r="M42" s="32"/>
    </row>
    <row r="43" spans="1:13" ht="18" customHeight="1" x14ac:dyDescent="0.25">
      <c r="A43" s="42"/>
      <c r="B43" s="19" t="s">
        <v>19</v>
      </c>
      <c r="C43" s="20">
        <v>59216.2</v>
      </c>
      <c r="D43" s="31">
        <v>64534.9</v>
      </c>
      <c r="E43" s="31">
        <v>59216.2</v>
      </c>
      <c r="F43" s="31">
        <v>63615.8</v>
      </c>
      <c r="G43" s="35">
        <f t="shared" si="0"/>
        <v>98.575809368264316</v>
      </c>
      <c r="H43" s="31">
        <v>59216.2</v>
      </c>
      <c r="I43" s="31">
        <v>63615.8</v>
      </c>
      <c r="J43" s="16">
        <f t="shared" si="1"/>
        <v>98.575809368264316</v>
      </c>
      <c r="K43" s="21"/>
      <c r="L43" s="24"/>
      <c r="M43" s="32"/>
    </row>
    <row r="44" spans="1:13" ht="18" customHeight="1" x14ac:dyDescent="0.25">
      <c r="A44" s="42"/>
      <c r="B44" s="19" t="s">
        <v>20</v>
      </c>
      <c r="C44" s="20"/>
      <c r="D44" s="20"/>
      <c r="E44" s="20"/>
      <c r="F44" s="20"/>
      <c r="G44" s="16"/>
      <c r="H44" s="20"/>
      <c r="I44" s="20"/>
      <c r="J44" s="16"/>
      <c r="K44" s="21"/>
      <c r="L44" s="24"/>
      <c r="M44" s="32"/>
    </row>
    <row r="45" spans="1:13" ht="17.25" customHeight="1" x14ac:dyDescent="0.25">
      <c r="A45" s="42"/>
      <c r="B45" s="19" t="s">
        <v>21</v>
      </c>
      <c r="C45" s="20"/>
      <c r="D45" s="20"/>
      <c r="E45" s="20"/>
      <c r="F45" s="20"/>
      <c r="G45" s="16"/>
      <c r="H45" s="20"/>
      <c r="I45" s="20"/>
      <c r="J45" s="16"/>
      <c r="K45" s="21"/>
      <c r="L45" s="24"/>
      <c r="M45" s="32"/>
    </row>
    <row r="46" spans="1:13" ht="16.149999999999999" customHeight="1" x14ac:dyDescent="0.25">
      <c r="A46" s="37"/>
      <c r="B46" s="19" t="s">
        <v>42</v>
      </c>
      <c r="C46" s="20"/>
      <c r="D46" s="20"/>
      <c r="E46" s="20"/>
      <c r="F46" s="20"/>
      <c r="G46" s="16"/>
      <c r="H46" s="20"/>
      <c r="I46" s="20"/>
      <c r="J46" s="16"/>
      <c r="K46" s="21"/>
      <c r="L46" s="24"/>
      <c r="M46" s="32"/>
    </row>
    <row r="47" spans="1:13" ht="54" customHeight="1" x14ac:dyDescent="0.25">
      <c r="A47" s="37"/>
      <c r="B47" s="34" t="s">
        <v>69</v>
      </c>
      <c r="C47" s="20"/>
      <c r="D47" s="20"/>
      <c r="E47" s="20"/>
      <c r="F47" s="20"/>
      <c r="G47" s="16"/>
      <c r="H47" s="20"/>
      <c r="I47" s="20"/>
      <c r="J47" s="16"/>
      <c r="K47" s="21"/>
      <c r="L47" s="24"/>
      <c r="M47" s="32"/>
    </row>
    <row r="48" spans="1:13" ht="17.25" customHeight="1" x14ac:dyDescent="0.25">
      <c r="A48" s="37"/>
      <c r="B48" s="19" t="s">
        <v>65</v>
      </c>
      <c r="C48" s="20"/>
      <c r="D48" s="20"/>
      <c r="E48" s="20"/>
      <c r="F48" s="20"/>
      <c r="G48" s="16"/>
      <c r="H48" s="20"/>
      <c r="I48" s="20"/>
      <c r="J48" s="16"/>
      <c r="K48" s="21"/>
      <c r="L48" s="39">
        <v>1</v>
      </c>
      <c r="M48" s="32"/>
    </row>
    <row r="49" spans="1:13" ht="17.25" customHeight="1" x14ac:dyDescent="0.25">
      <c r="A49" s="37"/>
      <c r="B49" s="19" t="s">
        <v>66</v>
      </c>
      <c r="C49" s="20"/>
      <c r="D49" s="20"/>
      <c r="E49" s="20"/>
      <c r="F49" s="20"/>
      <c r="G49" s="16"/>
      <c r="H49" s="20"/>
      <c r="I49" s="20"/>
      <c r="J49" s="16"/>
      <c r="K49" s="21"/>
      <c r="L49" s="39">
        <v>1</v>
      </c>
      <c r="M49" s="32"/>
    </row>
    <row r="50" spans="1:13" s="18" customFormat="1" ht="78.75" x14ac:dyDescent="0.25">
      <c r="A50" s="42" t="s">
        <v>31</v>
      </c>
      <c r="B50" s="15" t="s">
        <v>32</v>
      </c>
      <c r="C50" s="16">
        <f>C52+C53</f>
        <v>1244042</v>
      </c>
      <c r="D50" s="16">
        <f>SUM(D52:D54)</f>
        <v>1485486.54528</v>
      </c>
      <c r="E50" s="16">
        <f>E52+E53</f>
        <v>1234697.2</v>
      </c>
      <c r="F50" s="16">
        <f>SUM(F52:F54)</f>
        <v>1400176.5480000002</v>
      </c>
      <c r="G50" s="16">
        <f t="shared" si="0"/>
        <v>94.257100641465613</v>
      </c>
      <c r="H50" s="16">
        <f>H52+H53</f>
        <v>1244042</v>
      </c>
      <c r="I50" s="16">
        <f>SUM(I52:I54)</f>
        <v>1156282.6000000001</v>
      </c>
      <c r="J50" s="16">
        <f t="shared" si="1"/>
        <v>77.838645100757333</v>
      </c>
      <c r="K50" s="17" t="s">
        <v>33</v>
      </c>
      <c r="L50" s="23">
        <v>1</v>
      </c>
      <c r="M50" s="32"/>
    </row>
    <row r="51" spans="1:13" ht="16.5" customHeight="1" x14ac:dyDescent="0.25">
      <c r="A51" s="42"/>
      <c r="B51" s="19" t="s">
        <v>17</v>
      </c>
      <c r="C51" s="20"/>
      <c r="D51" s="20"/>
      <c r="E51" s="20"/>
      <c r="F51" s="20"/>
      <c r="G51" s="16"/>
      <c r="H51" s="20"/>
      <c r="I51" s="20"/>
      <c r="J51" s="16"/>
      <c r="K51" s="21"/>
      <c r="L51" s="24"/>
      <c r="M51" s="32"/>
    </row>
    <row r="52" spans="1:13" ht="16.5" customHeight="1" x14ac:dyDescent="0.25">
      <c r="A52" s="42"/>
      <c r="B52" s="34" t="s">
        <v>18</v>
      </c>
      <c r="C52" s="31">
        <v>278448.2</v>
      </c>
      <c r="D52" s="31">
        <f>37258.78621+304612.21549+49570.04358</f>
        <v>391441.04527999996</v>
      </c>
      <c r="E52" s="31">
        <v>278407.59999999998</v>
      </c>
      <c r="F52" s="31">
        <f>36736.60928+300792.08734+26652.39642</f>
        <v>364181.09304000001</v>
      </c>
      <c r="G52" s="35">
        <f t="shared" si="0"/>
        <v>93.036000550095409</v>
      </c>
      <c r="H52" s="31">
        <v>278448.2</v>
      </c>
      <c r="I52" s="31">
        <v>351253</v>
      </c>
      <c r="J52" s="35">
        <f t="shared" si="1"/>
        <v>89.733308306681721</v>
      </c>
      <c r="K52" s="21"/>
      <c r="L52" s="24"/>
      <c r="M52" s="32"/>
    </row>
    <row r="53" spans="1:13" ht="16.5" customHeight="1" x14ac:dyDescent="0.25">
      <c r="A53" s="42"/>
      <c r="B53" s="34" t="s">
        <v>19</v>
      </c>
      <c r="C53" s="31">
        <f>965849.8-256</f>
        <v>965593.8</v>
      </c>
      <c r="D53" s="31">
        <f>784361.3+74842+234842.2</f>
        <v>1094045.5</v>
      </c>
      <c r="E53" s="31">
        <f>956545.6-256</f>
        <v>956289.6</v>
      </c>
      <c r="F53" s="31">
        <f>740570.3403+64501.1308+230923.98386</f>
        <v>1035995.4549600001</v>
      </c>
      <c r="G53" s="35">
        <f t="shared" si="0"/>
        <v>94.694000840001635</v>
      </c>
      <c r="H53" s="31">
        <f>965849.8-256</f>
        <v>965593.8</v>
      </c>
      <c r="I53" s="31">
        <v>805029.6</v>
      </c>
      <c r="J53" s="35">
        <f t="shared" si="1"/>
        <v>73.582826308412223</v>
      </c>
      <c r="K53" s="21"/>
      <c r="L53" s="24"/>
      <c r="M53" s="32"/>
    </row>
    <row r="54" spans="1:13" ht="16.5" customHeight="1" x14ac:dyDescent="0.25">
      <c r="A54" s="42"/>
      <c r="B54" s="19" t="s">
        <v>20</v>
      </c>
      <c r="C54" s="20"/>
      <c r="D54" s="20"/>
      <c r="E54" s="20"/>
      <c r="F54" s="20"/>
      <c r="G54" s="16"/>
      <c r="H54" s="20"/>
      <c r="I54" s="20"/>
      <c r="J54" s="16"/>
      <c r="K54" s="21"/>
      <c r="L54" s="24"/>
      <c r="M54" s="32"/>
    </row>
    <row r="55" spans="1:13" ht="16.5" customHeight="1" x14ac:dyDescent="0.25">
      <c r="A55" s="37"/>
      <c r="B55" s="19" t="s">
        <v>42</v>
      </c>
      <c r="C55" s="20"/>
      <c r="D55" s="20"/>
      <c r="E55" s="20"/>
      <c r="F55" s="20"/>
      <c r="G55" s="16"/>
      <c r="H55" s="20"/>
      <c r="I55" s="20"/>
      <c r="J55" s="16"/>
      <c r="K55" s="21"/>
      <c r="L55" s="24"/>
      <c r="M55" s="32"/>
    </row>
    <row r="56" spans="1:13" ht="37.9" customHeight="1" x14ac:dyDescent="0.25">
      <c r="A56" s="37"/>
      <c r="B56" s="34" t="s">
        <v>70</v>
      </c>
      <c r="C56" s="20"/>
      <c r="D56" s="20"/>
      <c r="E56" s="20"/>
      <c r="F56" s="20"/>
      <c r="G56" s="16"/>
      <c r="H56" s="20"/>
      <c r="I56" s="20"/>
      <c r="J56" s="16"/>
      <c r="K56" s="21"/>
      <c r="L56" s="24"/>
      <c r="M56" s="32"/>
    </row>
    <row r="57" spans="1:13" ht="16.5" customHeight="1" x14ac:dyDescent="0.25">
      <c r="A57" s="37"/>
      <c r="B57" s="19" t="s">
        <v>65</v>
      </c>
      <c r="C57" s="20"/>
      <c r="D57" s="20"/>
      <c r="E57" s="20"/>
      <c r="F57" s="20"/>
      <c r="G57" s="16"/>
      <c r="H57" s="20"/>
      <c r="I57" s="20"/>
      <c r="J57" s="16"/>
      <c r="K57" s="21"/>
      <c r="L57" s="39">
        <v>1</v>
      </c>
      <c r="M57" s="32"/>
    </row>
    <row r="58" spans="1:13" ht="16.5" customHeight="1" x14ac:dyDescent="0.25">
      <c r="A58" s="37"/>
      <c r="B58" s="19" t="s">
        <v>66</v>
      </c>
      <c r="C58" s="20"/>
      <c r="D58" s="20"/>
      <c r="E58" s="20"/>
      <c r="F58" s="20"/>
      <c r="G58" s="16"/>
      <c r="H58" s="20"/>
      <c r="I58" s="20"/>
      <c r="J58" s="16"/>
      <c r="K58" s="21"/>
      <c r="L58" s="39">
        <v>1</v>
      </c>
      <c r="M58" s="32"/>
    </row>
    <row r="59" spans="1:13" s="18" customFormat="1" ht="36" customHeight="1" x14ac:dyDescent="0.25">
      <c r="A59" s="42" t="s">
        <v>34</v>
      </c>
      <c r="B59" s="15" t="s">
        <v>35</v>
      </c>
      <c r="C59" s="16">
        <f>C61+C62</f>
        <v>213186.1</v>
      </c>
      <c r="D59" s="16">
        <f>SUM(D61:D64)</f>
        <v>202649.29931999999</v>
      </c>
      <c r="E59" s="16">
        <f>E61+E62</f>
        <v>123949</v>
      </c>
      <c r="F59" s="16">
        <f>SUM(F61:F64)</f>
        <v>139842.99723000001</v>
      </c>
      <c r="G59" s="16">
        <f t="shared" si="0"/>
        <v>69.00739242585604</v>
      </c>
      <c r="H59" s="16">
        <f>H61+H62</f>
        <v>214548.7</v>
      </c>
      <c r="I59" s="16">
        <f>SUM(I61:I64)</f>
        <v>117086.96799999999</v>
      </c>
      <c r="J59" s="16">
        <f t="shared" si="1"/>
        <v>57.778126247113249</v>
      </c>
      <c r="K59" s="17" t="s">
        <v>36</v>
      </c>
      <c r="L59" s="23">
        <v>1</v>
      </c>
      <c r="M59" s="32"/>
    </row>
    <row r="60" spans="1:13" ht="14.25" customHeight="1" x14ac:dyDescent="0.25">
      <c r="A60" s="42"/>
      <c r="B60" s="19" t="s">
        <v>17</v>
      </c>
      <c r="C60" s="20"/>
      <c r="D60" s="20"/>
      <c r="E60" s="20"/>
      <c r="F60" s="20"/>
      <c r="G60" s="16"/>
      <c r="H60" s="20"/>
      <c r="I60" s="20"/>
      <c r="J60" s="16"/>
      <c r="K60" s="21"/>
      <c r="L60" s="24"/>
      <c r="M60" s="32"/>
    </row>
    <row r="61" spans="1:13" ht="14.25" customHeight="1" x14ac:dyDescent="0.25">
      <c r="A61" s="42"/>
      <c r="B61" s="34" t="s">
        <v>18</v>
      </c>
      <c r="C61" s="31">
        <v>133775.6</v>
      </c>
      <c r="D61" s="31">
        <f>20242.35556+3675.61919+53336.72784+52585.85243</f>
        <v>129840.55502</v>
      </c>
      <c r="E61" s="31">
        <v>44538.5</v>
      </c>
      <c r="F61" s="31">
        <f>5711.738+3675.61919+17313.56096+46725.69908</f>
        <v>73426.617230000003</v>
      </c>
      <c r="G61" s="35">
        <f t="shared" si="0"/>
        <v>56.551373504749527</v>
      </c>
      <c r="H61" s="31">
        <f>E61+61848.7</f>
        <v>106387.2</v>
      </c>
      <c r="I61" s="31">
        <f>49682.72+473.34+1361.998+15412.85</f>
        <v>66930.907999999996</v>
      </c>
      <c r="J61" s="35">
        <f t="shared" si="1"/>
        <v>51.548538120227761</v>
      </c>
      <c r="K61" s="21"/>
      <c r="L61" s="24"/>
      <c r="M61" s="32"/>
    </row>
    <row r="62" spans="1:13" ht="14.25" customHeight="1" x14ac:dyDescent="0.25">
      <c r="A62" s="42"/>
      <c r="B62" s="34" t="s">
        <v>19</v>
      </c>
      <c r="C62" s="31">
        <v>79410.5</v>
      </c>
      <c r="D62" s="31">
        <v>72808.744300000006</v>
      </c>
      <c r="E62" s="31">
        <v>79410.5</v>
      </c>
      <c r="F62" s="31">
        <v>66416.38</v>
      </c>
      <c r="G62" s="35">
        <f t="shared" si="0"/>
        <v>91.220334368546446</v>
      </c>
      <c r="H62" s="31">
        <f>79410.5+28751</f>
        <v>108161.5</v>
      </c>
      <c r="I62" s="31">
        <f>49682.72+473.34</f>
        <v>50156.06</v>
      </c>
      <c r="J62" s="35">
        <f t="shared" si="1"/>
        <v>68.887412469768407</v>
      </c>
      <c r="K62" s="21"/>
      <c r="L62" s="24"/>
      <c r="M62" s="32"/>
    </row>
    <row r="63" spans="1:13" ht="14.25" customHeight="1" x14ac:dyDescent="0.25">
      <c r="A63" s="42"/>
      <c r="B63" s="19" t="s">
        <v>20</v>
      </c>
      <c r="C63" s="20"/>
      <c r="D63" s="20"/>
      <c r="E63" s="20"/>
      <c r="F63" s="20"/>
      <c r="G63" s="16"/>
      <c r="H63" s="20"/>
      <c r="I63" s="20"/>
      <c r="J63" s="16"/>
      <c r="K63" s="21"/>
      <c r="L63" s="24"/>
      <c r="M63" s="32"/>
    </row>
    <row r="64" spans="1:13" ht="14.25" customHeight="1" x14ac:dyDescent="0.25">
      <c r="A64" s="42"/>
      <c r="B64" s="19" t="s">
        <v>21</v>
      </c>
      <c r="C64" s="20"/>
      <c r="D64" s="20"/>
      <c r="E64" s="20"/>
      <c r="F64" s="20"/>
      <c r="G64" s="16"/>
      <c r="H64" s="20"/>
      <c r="I64" s="20"/>
      <c r="J64" s="16"/>
      <c r="K64" s="21"/>
      <c r="L64" s="24"/>
      <c r="M64" s="32"/>
    </row>
    <row r="65" spans="1:13" ht="14.25" customHeight="1" x14ac:dyDescent="0.25">
      <c r="A65" s="37"/>
      <c r="B65" s="19" t="s">
        <v>42</v>
      </c>
      <c r="C65" s="20"/>
      <c r="D65" s="20"/>
      <c r="E65" s="20"/>
      <c r="F65" s="20"/>
      <c r="G65" s="16"/>
      <c r="H65" s="20"/>
      <c r="I65" s="20"/>
      <c r="J65" s="16"/>
      <c r="K65" s="21"/>
      <c r="L65" s="24"/>
      <c r="M65" s="32"/>
    </row>
    <row r="66" spans="1:13" ht="41.45" customHeight="1" x14ac:dyDescent="0.25">
      <c r="A66" s="37"/>
      <c r="B66" s="34" t="s">
        <v>71</v>
      </c>
      <c r="C66" s="20"/>
      <c r="D66" s="20"/>
      <c r="E66" s="20"/>
      <c r="F66" s="20"/>
      <c r="G66" s="16"/>
      <c r="H66" s="20"/>
      <c r="I66" s="20"/>
      <c r="J66" s="16"/>
      <c r="K66" s="21"/>
      <c r="L66" s="24"/>
      <c r="M66" s="32"/>
    </row>
    <row r="67" spans="1:13" ht="14.25" customHeight="1" x14ac:dyDescent="0.25">
      <c r="A67" s="37"/>
      <c r="B67" s="19" t="s">
        <v>65</v>
      </c>
      <c r="C67" s="20"/>
      <c r="D67" s="20"/>
      <c r="E67" s="20"/>
      <c r="F67" s="20"/>
      <c r="G67" s="16"/>
      <c r="H67" s="20"/>
      <c r="I67" s="20"/>
      <c r="J67" s="16"/>
      <c r="K67" s="21"/>
      <c r="L67" s="39">
        <v>1</v>
      </c>
      <c r="M67" s="32"/>
    </row>
    <row r="68" spans="1:13" ht="14.25" customHeight="1" x14ac:dyDescent="0.25">
      <c r="A68" s="37"/>
      <c r="B68" s="19" t="s">
        <v>66</v>
      </c>
      <c r="C68" s="20"/>
      <c r="D68" s="20"/>
      <c r="E68" s="20"/>
      <c r="F68" s="20"/>
      <c r="G68" s="16"/>
      <c r="H68" s="20"/>
      <c r="I68" s="20"/>
      <c r="J68" s="16"/>
      <c r="K68" s="21"/>
      <c r="L68" s="39">
        <v>1</v>
      </c>
      <c r="M68" s="32"/>
    </row>
    <row r="69" spans="1:13" s="18" customFormat="1" ht="26.25" customHeight="1" x14ac:dyDescent="0.25">
      <c r="A69" s="42" t="s">
        <v>37</v>
      </c>
      <c r="B69" s="15" t="s">
        <v>38</v>
      </c>
      <c r="C69" s="16">
        <f>C71+C72</f>
        <v>38828.9</v>
      </c>
      <c r="D69" s="16">
        <f>SUM(D71:D72)</f>
        <v>31932.407190000005</v>
      </c>
      <c r="E69" s="16">
        <f>E71+E72</f>
        <v>32802.6</v>
      </c>
      <c r="F69" s="16">
        <f>SUM(F71:F72)</f>
        <v>30253.584630000005</v>
      </c>
      <c r="G69" s="16">
        <f t="shared" si="0"/>
        <v>94.742574369633672</v>
      </c>
      <c r="H69" s="16">
        <f>H71+H72</f>
        <v>38828.9</v>
      </c>
      <c r="I69" s="16">
        <f>SUM(I71:I72)</f>
        <v>25362.863110000006</v>
      </c>
      <c r="J69" s="16">
        <f t="shared" si="1"/>
        <v>79.426718314999661</v>
      </c>
      <c r="K69" s="17" t="s">
        <v>39</v>
      </c>
      <c r="L69" s="23">
        <v>1</v>
      </c>
      <c r="M69" s="32"/>
    </row>
    <row r="70" spans="1:13" ht="13.5" customHeight="1" x14ac:dyDescent="0.25">
      <c r="A70" s="42"/>
      <c r="B70" s="19" t="s">
        <v>17</v>
      </c>
      <c r="C70" s="20"/>
      <c r="D70" s="20"/>
      <c r="E70" s="20"/>
      <c r="F70" s="20"/>
      <c r="G70" s="16"/>
      <c r="H70" s="20"/>
      <c r="I70" s="20"/>
      <c r="J70" s="16"/>
      <c r="K70" s="21"/>
      <c r="L70" s="24"/>
      <c r="M70" s="32"/>
    </row>
    <row r="71" spans="1:13" ht="13.5" customHeight="1" x14ac:dyDescent="0.25">
      <c r="A71" s="42"/>
      <c r="B71" s="34" t="s">
        <v>18</v>
      </c>
      <c r="C71" s="31">
        <f>19371.9+16735.4+1106.2</f>
        <v>37213.5</v>
      </c>
      <c r="D71" s="31">
        <f>26671.96099+1692.81576+843.9+934.4</f>
        <v>30143.076750000004</v>
      </c>
      <c r="E71" s="31">
        <f>13345.6+16735.4+1106.2</f>
        <v>31187.200000000001</v>
      </c>
      <c r="F71" s="31">
        <f>24993.13843+1692.81576+843.9+934.4</f>
        <v>28464.254190000003</v>
      </c>
      <c r="G71" s="35">
        <f t="shared" si="0"/>
        <v>94.430487060349606</v>
      </c>
      <c r="H71" s="31">
        <f>19371.9+16735.4+1106.2</f>
        <v>37213.5</v>
      </c>
      <c r="I71" s="31">
        <f>63.34752+79.1844+63.34752+15276.06791+6409.8+843.9+934.4</f>
        <v>23670.047350000004</v>
      </c>
      <c r="J71" s="35">
        <f t="shared" si="1"/>
        <v>78.525651333850661</v>
      </c>
      <c r="K71" s="21"/>
      <c r="L71" s="24"/>
      <c r="M71" s="32"/>
    </row>
    <row r="72" spans="1:13" ht="13.5" customHeight="1" x14ac:dyDescent="0.25">
      <c r="A72" s="42"/>
      <c r="B72" s="34" t="s">
        <v>19</v>
      </c>
      <c r="C72" s="31">
        <v>1615.4</v>
      </c>
      <c r="D72" s="31">
        <f>1692.81576+96.51468</f>
        <v>1789.33044</v>
      </c>
      <c r="E72" s="31">
        <v>1615.4</v>
      </c>
      <c r="F72" s="31">
        <f>1692.81576+96.51468</f>
        <v>1789.33044</v>
      </c>
      <c r="G72" s="35">
        <f t="shared" si="0"/>
        <v>100</v>
      </c>
      <c r="H72" s="31">
        <v>1615.4</v>
      </c>
      <c r="I72" s="31">
        <v>1692.81576</v>
      </c>
      <c r="J72" s="35">
        <f t="shared" si="1"/>
        <v>94.606100816124268</v>
      </c>
      <c r="K72" s="21"/>
      <c r="L72" s="24"/>
      <c r="M72" s="32"/>
    </row>
    <row r="73" spans="1:13" ht="13.5" customHeight="1" x14ac:dyDescent="0.25">
      <c r="A73" s="42"/>
      <c r="B73" s="19" t="s">
        <v>20</v>
      </c>
      <c r="C73" s="20"/>
      <c r="D73" s="20"/>
      <c r="E73" s="20"/>
      <c r="F73" s="20"/>
      <c r="G73" s="16"/>
      <c r="H73" s="20"/>
      <c r="I73" s="20"/>
      <c r="J73" s="16"/>
      <c r="K73" s="21"/>
      <c r="L73" s="24"/>
      <c r="M73" s="32"/>
    </row>
    <row r="74" spans="1:13" ht="13.5" customHeight="1" x14ac:dyDescent="0.25">
      <c r="A74" s="42"/>
      <c r="B74" s="19" t="s">
        <v>21</v>
      </c>
      <c r="C74" s="20"/>
      <c r="D74" s="20"/>
      <c r="E74" s="20"/>
      <c r="F74" s="20"/>
      <c r="G74" s="16"/>
      <c r="H74" s="20"/>
      <c r="I74" s="20"/>
      <c r="J74" s="16"/>
      <c r="K74" s="21"/>
      <c r="L74" s="24"/>
      <c r="M74" s="32"/>
    </row>
    <row r="75" spans="1:13" ht="13.5" customHeight="1" x14ac:dyDescent="0.25">
      <c r="A75" s="37"/>
      <c r="B75" s="19" t="s">
        <v>42</v>
      </c>
      <c r="C75" s="20"/>
      <c r="D75" s="20"/>
      <c r="E75" s="20"/>
      <c r="F75" s="20"/>
      <c r="G75" s="16"/>
      <c r="H75" s="20"/>
      <c r="I75" s="20"/>
      <c r="J75" s="16"/>
      <c r="K75" s="21"/>
      <c r="L75" s="24"/>
      <c r="M75" s="32"/>
    </row>
    <row r="76" spans="1:13" ht="39.6" customHeight="1" x14ac:dyDescent="0.25">
      <c r="A76" s="37"/>
      <c r="B76" s="34" t="s">
        <v>72</v>
      </c>
      <c r="C76" s="20"/>
      <c r="D76" s="20"/>
      <c r="E76" s="20"/>
      <c r="F76" s="20"/>
      <c r="G76" s="16"/>
      <c r="H76" s="20"/>
      <c r="I76" s="20"/>
      <c r="J76" s="16"/>
      <c r="K76" s="21"/>
      <c r="L76" s="24"/>
      <c r="M76" s="32"/>
    </row>
    <row r="77" spans="1:13" ht="13.5" customHeight="1" x14ac:dyDescent="0.25">
      <c r="A77" s="37"/>
      <c r="B77" s="19" t="s">
        <v>65</v>
      </c>
      <c r="C77" s="20"/>
      <c r="D77" s="20"/>
      <c r="E77" s="20"/>
      <c r="F77" s="20"/>
      <c r="G77" s="16"/>
      <c r="H77" s="20"/>
      <c r="I77" s="20"/>
      <c r="J77" s="16"/>
      <c r="K77" s="21"/>
      <c r="L77" s="39">
        <v>1</v>
      </c>
      <c r="M77" s="32"/>
    </row>
    <row r="78" spans="1:13" ht="13.5" customHeight="1" x14ac:dyDescent="0.25">
      <c r="A78" s="37"/>
      <c r="B78" s="19" t="s">
        <v>66</v>
      </c>
      <c r="C78" s="20"/>
      <c r="D78" s="20"/>
      <c r="E78" s="20"/>
      <c r="F78" s="20"/>
      <c r="G78" s="16"/>
      <c r="H78" s="20"/>
      <c r="I78" s="20"/>
      <c r="J78" s="16"/>
      <c r="K78" s="21"/>
      <c r="L78" s="39">
        <v>1</v>
      </c>
      <c r="M78" s="32"/>
    </row>
    <row r="79" spans="1:13" s="18" customFormat="1" ht="47.25" customHeight="1" x14ac:dyDescent="0.25">
      <c r="A79" s="41" t="s">
        <v>40</v>
      </c>
      <c r="B79" s="15" t="s">
        <v>41</v>
      </c>
      <c r="C79" s="16">
        <f>C81+C82</f>
        <v>5313.7</v>
      </c>
      <c r="D79" s="16">
        <f>SUM(D81:D82)</f>
        <v>17797.521500000003</v>
      </c>
      <c r="E79" s="16">
        <f>E81+E82</f>
        <v>3705.2</v>
      </c>
      <c r="F79" s="16">
        <f>SUM(F81:F82)</f>
        <v>2255.8751699999998</v>
      </c>
      <c r="G79" s="16">
        <f t="shared" si="0"/>
        <v>12.675220928936648</v>
      </c>
      <c r="H79" s="16">
        <f>H81+H82</f>
        <v>5189.7999999999993</v>
      </c>
      <c r="I79" s="16">
        <f>SUM(I81:I82)</f>
        <v>11672</v>
      </c>
      <c r="J79" s="16">
        <f t="shared" si="1"/>
        <v>65.582165471748397</v>
      </c>
      <c r="K79" s="17" t="s">
        <v>25</v>
      </c>
      <c r="L79" s="23">
        <v>1</v>
      </c>
      <c r="M79" s="32"/>
    </row>
    <row r="80" spans="1:13" ht="16.5" customHeight="1" x14ac:dyDescent="0.25">
      <c r="A80" s="41"/>
      <c r="B80" s="19" t="s">
        <v>17</v>
      </c>
      <c r="C80" s="20"/>
      <c r="D80" s="20"/>
      <c r="E80" s="20"/>
      <c r="F80" s="20"/>
      <c r="G80" s="16"/>
      <c r="H80" s="20"/>
      <c r="I80" s="20"/>
      <c r="J80" s="16"/>
      <c r="K80" s="21"/>
      <c r="L80" s="24"/>
      <c r="M80" s="32"/>
    </row>
    <row r="81" spans="1:13" ht="16.5" customHeight="1" x14ac:dyDescent="0.25">
      <c r="A81" s="41"/>
      <c r="B81" s="34" t="s">
        <v>18</v>
      </c>
      <c r="C81" s="31">
        <v>3613.7</v>
      </c>
      <c r="D81" s="31">
        <f>1484.5715+14532.95+1780</f>
        <v>17797.521500000003</v>
      </c>
      <c r="E81" s="31">
        <v>2056.1999999999998</v>
      </c>
      <c r="F81" s="31">
        <f>1484.5715+601.3044+169.99927</f>
        <v>2255.8751699999998</v>
      </c>
      <c r="G81" s="16">
        <f t="shared" si="0"/>
        <v>12.675220928936648</v>
      </c>
      <c r="H81" s="20">
        <f>E81+1484.6</f>
        <v>3540.7999999999997</v>
      </c>
      <c r="I81" s="20">
        <f>50+11622</f>
        <v>11672</v>
      </c>
      <c r="J81" s="16">
        <f t="shared" si="1"/>
        <v>65.582165471748397</v>
      </c>
      <c r="K81" s="21"/>
      <c r="L81" s="24"/>
      <c r="M81" s="32"/>
    </row>
    <row r="82" spans="1:13" ht="16.5" customHeight="1" x14ac:dyDescent="0.25">
      <c r="A82" s="41"/>
      <c r="B82" s="19" t="s">
        <v>19</v>
      </c>
      <c r="C82" s="20">
        <v>1700</v>
      </c>
      <c r="D82" s="20"/>
      <c r="E82" s="20">
        <v>1649</v>
      </c>
      <c r="F82" s="20"/>
      <c r="G82" s="16"/>
      <c r="H82" s="20">
        <v>1649</v>
      </c>
      <c r="I82" s="20"/>
      <c r="J82" s="16"/>
      <c r="K82" s="21"/>
      <c r="L82" s="24"/>
      <c r="M82" s="32"/>
    </row>
    <row r="83" spans="1:13" ht="16.5" customHeight="1" x14ac:dyDescent="0.25">
      <c r="A83" s="41"/>
      <c r="B83" s="19" t="s">
        <v>20</v>
      </c>
      <c r="C83" s="20"/>
      <c r="D83" s="20"/>
      <c r="E83" s="20"/>
      <c r="F83" s="20"/>
      <c r="G83" s="16"/>
      <c r="H83" s="20"/>
      <c r="I83" s="20"/>
      <c r="J83" s="16"/>
      <c r="K83" s="21"/>
      <c r="L83" s="24"/>
      <c r="M83" s="32"/>
    </row>
    <row r="84" spans="1:13" ht="16.5" customHeight="1" x14ac:dyDescent="0.25">
      <c r="A84" s="41"/>
      <c r="B84" s="19" t="s">
        <v>21</v>
      </c>
      <c r="C84" s="20"/>
      <c r="D84" s="20"/>
      <c r="E84" s="20"/>
      <c r="F84" s="20"/>
      <c r="G84" s="16"/>
      <c r="H84" s="20"/>
      <c r="I84" s="20"/>
      <c r="J84" s="16"/>
      <c r="K84" s="21"/>
      <c r="L84" s="24"/>
      <c r="M84" s="32"/>
    </row>
    <row r="85" spans="1:13" ht="16.5" customHeight="1" x14ac:dyDescent="0.25">
      <c r="A85" s="41"/>
      <c r="B85" s="19" t="s">
        <v>42</v>
      </c>
      <c r="C85" s="20"/>
      <c r="D85" s="20"/>
      <c r="E85" s="20"/>
      <c r="F85" s="20"/>
      <c r="G85" s="16"/>
      <c r="H85" s="20"/>
      <c r="I85" s="20"/>
      <c r="J85" s="16"/>
      <c r="K85" s="21"/>
      <c r="L85" s="24"/>
      <c r="M85" s="32"/>
    </row>
    <row r="86" spans="1:13" ht="39.6" customHeight="1" x14ac:dyDescent="0.25">
      <c r="A86" s="36"/>
      <c r="B86" s="34" t="s">
        <v>73</v>
      </c>
      <c r="C86" s="20"/>
      <c r="D86" s="20"/>
      <c r="E86" s="20"/>
      <c r="F86" s="20"/>
      <c r="G86" s="16"/>
      <c r="H86" s="20"/>
      <c r="I86" s="20"/>
      <c r="J86" s="16"/>
      <c r="K86" s="21"/>
      <c r="L86" s="24"/>
      <c r="M86" s="32"/>
    </row>
    <row r="87" spans="1:13" ht="16.5" customHeight="1" x14ac:dyDescent="0.25">
      <c r="A87" s="36"/>
      <c r="B87" s="19" t="s">
        <v>65</v>
      </c>
      <c r="C87" s="20"/>
      <c r="D87" s="20"/>
      <c r="E87" s="20"/>
      <c r="F87" s="20"/>
      <c r="G87" s="16"/>
      <c r="H87" s="20"/>
      <c r="I87" s="20"/>
      <c r="J87" s="16"/>
      <c r="K87" s="21"/>
      <c r="L87" s="39">
        <v>1</v>
      </c>
      <c r="M87" s="32"/>
    </row>
    <row r="88" spans="1:13" ht="16.5" customHeight="1" x14ac:dyDescent="0.25">
      <c r="A88" s="36"/>
      <c r="B88" s="19" t="s">
        <v>66</v>
      </c>
      <c r="C88" s="20"/>
      <c r="D88" s="20"/>
      <c r="E88" s="20"/>
      <c r="F88" s="20"/>
      <c r="G88" s="16"/>
      <c r="H88" s="20"/>
      <c r="I88" s="20"/>
      <c r="J88" s="16"/>
      <c r="K88" s="21"/>
      <c r="L88" s="39">
        <v>1</v>
      </c>
      <c r="M88" s="32"/>
    </row>
    <row r="89" spans="1:13" s="18" customFormat="1" ht="47.25" x14ac:dyDescent="0.25">
      <c r="A89" s="41" t="s">
        <v>43</v>
      </c>
      <c r="B89" s="15" t="s">
        <v>44</v>
      </c>
      <c r="C89" s="16">
        <f>C91+C92</f>
        <v>1150987.2</v>
      </c>
      <c r="D89" s="16">
        <f>SUM(D91:D92)</f>
        <v>1298239.1921600001</v>
      </c>
      <c r="E89" s="16">
        <f>E91+E92</f>
        <v>1149463</v>
      </c>
      <c r="F89" s="16">
        <f>SUM(F91:F92)</f>
        <v>1196718.46276</v>
      </c>
      <c r="G89" s="16">
        <f t="shared" si="0"/>
        <v>92.180121351051596</v>
      </c>
      <c r="H89" s="16">
        <f>H91+H92</f>
        <v>1191584</v>
      </c>
      <c r="I89" s="16">
        <f>SUM(I91:I92)</f>
        <v>1172929.85561</v>
      </c>
      <c r="J89" s="16">
        <f t="shared" si="1"/>
        <v>90.347746601185918</v>
      </c>
      <c r="K89" s="17" t="s">
        <v>33</v>
      </c>
      <c r="L89" s="23">
        <v>1</v>
      </c>
      <c r="M89" s="32"/>
    </row>
    <row r="90" spans="1:13" ht="15.75" customHeight="1" x14ac:dyDescent="0.25">
      <c r="A90" s="41"/>
      <c r="B90" s="19" t="s">
        <v>17</v>
      </c>
      <c r="C90" s="20"/>
      <c r="D90" s="20"/>
      <c r="E90" s="20"/>
      <c r="F90" s="20"/>
      <c r="G90" s="16"/>
      <c r="H90" s="20"/>
      <c r="I90" s="20"/>
      <c r="J90" s="16"/>
      <c r="K90" s="21"/>
      <c r="L90" s="24"/>
      <c r="M90" s="32"/>
    </row>
    <row r="91" spans="1:13" ht="15.75" customHeight="1" x14ac:dyDescent="0.25">
      <c r="A91" s="41"/>
      <c r="B91" s="34" t="s">
        <v>18</v>
      </c>
      <c r="C91" s="31">
        <v>219698.7</v>
      </c>
      <c r="D91" s="31">
        <f>26583.58567+205122.92335+19559.28314</f>
        <v>251265.79216000001</v>
      </c>
      <c r="E91" s="31">
        <v>219177.5</v>
      </c>
      <c r="F91" s="31">
        <f>26328.49632+203075.68553+4987.57303</f>
        <v>234391.75487999999</v>
      </c>
      <c r="G91" s="35">
        <f t="shared" si="0"/>
        <v>93.28438736728036</v>
      </c>
      <c r="H91" s="31">
        <f>E91+25992.2-238.1</f>
        <v>244931.6</v>
      </c>
      <c r="I91" s="31">
        <v>234391.8</v>
      </c>
      <c r="J91" s="35">
        <f t="shared" si="1"/>
        <v>93.284405324360648</v>
      </c>
      <c r="K91" s="21"/>
      <c r="L91" s="24"/>
      <c r="M91" s="32"/>
    </row>
    <row r="92" spans="1:13" ht="15.75" customHeight="1" x14ac:dyDescent="0.25">
      <c r="A92" s="41"/>
      <c r="B92" s="34" t="s">
        <v>19</v>
      </c>
      <c r="C92" s="31">
        <f>931526.6-238.1</f>
        <v>931288.5</v>
      </c>
      <c r="D92" s="31">
        <f>949922.42+97050.98</f>
        <v>1046973.4</v>
      </c>
      <c r="E92" s="31">
        <f>930523.6-238.1</f>
        <v>930285.5</v>
      </c>
      <c r="F92" s="31">
        <f>866627.51231+95699.19557</f>
        <v>962326.70788</v>
      </c>
      <c r="G92" s="35">
        <f t="shared" si="0"/>
        <v>91.915105759133894</v>
      </c>
      <c r="H92" s="31">
        <f>E92+16366.9</f>
        <v>946652.4</v>
      </c>
      <c r="I92" s="31">
        <f>19941.07767+27270.88362+30243.42911-1410.93479+862493.6</f>
        <v>938538.05560999992</v>
      </c>
      <c r="J92" s="35">
        <f t="shared" si="1"/>
        <v>89.642970452735469</v>
      </c>
      <c r="K92" s="21"/>
      <c r="L92" s="24"/>
      <c r="M92" s="32"/>
    </row>
    <row r="93" spans="1:13" ht="15.75" customHeight="1" x14ac:dyDescent="0.25">
      <c r="A93" s="41"/>
      <c r="B93" s="19" t="s">
        <v>20</v>
      </c>
      <c r="C93" s="20"/>
      <c r="D93" s="20"/>
      <c r="E93" s="20"/>
      <c r="F93" s="20"/>
      <c r="G93" s="16"/>
      <c r="H93" s="20"/>
      <c r="I93" s="20"/>
      <c r="J93" s="16"/>
      <c r="K93" s="21"/>
      <c r="L93" s="24"/>
      <c r="M93" s="32"/>
    </row>
    <row r="94" spans="1:13" ht="15.75" customHeight="1" x14ac:dyDescent="0.25">
      <c r="A94" s="36"/>
      <c r="B94" s="19" t="s">
        <v>42</v>
      </c>
      <c r="C94" s="20"/>
      <c r="D94" s="20"/>
      <c r="E94" s="20"/>
      <c r="F94" s="20"/>
      <c r="G94" s="16"/>
      <c r="H94" s="20"/>
      <c r="I94" s="20"/>
      <c r="J94" s="16"/>
      <c r="K94" s="21"/>
      <c r="L94" s="24"/>
      <c r="M94" s="32"/>
    </row>
    <row r="95" spans="1:13" ht="37.15" customHeight="1" x14ac:dyDescent="0.25">
      <c r="A95" s="36"/>
      <c r="B95" s="34" t="s">
        <v>74</v>
      </c>
      <c r="C95" s="20"/>
      <c r="D95" s="20"/>
      <c r="E95" s="20"/>
      <c r="F95" s="20"/>
      <c r="G95" s="16"/>
      <c r="H95" s="20"/>
      <c r="I95" s="20"/>
      <c r="J95" s="16"/>
      <c r="K95" s="21"/>
      <c r="L95" s="24"/>
      <c r="M95" s="32"/>
    </row>
    <row r="96" spans="1:13" ht="15.75" customHeight="1" x14ac:dyDescent="0.25">
      <c r="A96" s="36"/>
      <c r="B96" s="19" t="s">
        <v>65</v>
      </c>
      <c r="C96" s="20"/>
      <c r="D96" s="20"/>
      <c r="E96" s="20"/>
      <c r="F96" s="20"/>
      <c r="G96" s="16"/>
      <c r="H96" s="20"/>
      <c r="I96" s="20"/>
      <c r="J96" s="16"/>
      <c r="K96" s="21"/>
      <c r="L96" s="39">
        <v>1</v>
      </c>
      <c r="M96" s="32"/>
    </row>
    <row r="97" spans="1:13" ht="15.75" customHeight="1" x14ac:dyDescent="0.25">
      <c r="A97" s="36"/>
      <c r="B97" s="19" t="s">
        <v>66</v>
      </c>
      <c r="C97" s="20"/>
      <c r="D97" s="20"/>
      <c r="E97" s="20"/>
      <c r="F97" s="20"/>
      <c r="G97" s="16"/>
      <c r="H97" s="20"/>
      <c r="I97" s="20"/>
      <c r="J97" s="16"/>
      <c r="K97" s="21"/>
      <c r="L97" s="39">
        <v>1</v>
      </c>
      <c r="M97" s="32"/>
    </row>
    <row r="98" spans="1:13" s="18" customFormat="1" ht="47.25" x14ac:dyDescent="0.25">
      <c r="A98" s="41" t="s">
        <v>45</v>
      </c>
      <c r="B98" s="15" t="s">
        <v>46</v>
      </c>
      <c r="C98" s="16">
        <f>C100+C101</f>
        <v>39684.699999999997</v>
      </c>
      <c r="D98" s="16">
        <f>SUM(D100:D102)</f>
        <v>40089.800000000003</v>
      </c>
      <c r="E98" s="16">
        <f>E100+E101</f>
        <v>39089.800000000003</v>
      </c>
      <c r="F98" s="16">
        <f>SUM(F100:F102)</f>
        <v>39491.562360000004</v>
      </c>
      <c r="G98" s="16">
        <f t="shared" si="0"/>
        <v>98.507755987807371</v>
      </c>
      <c r="H98" s="16">
        <f>H100+H101</f>
        <v>39089.800000000003</v>
      </c>
      <c r="I98" s="16">
        <f>SUM(I100:I102)</f>
        <v>39491.562360000004</v>
      </c>
      <c r="J98" s="16">
        <f t="shared" si="1"/>
        <v>98.507755987807371</v>
      </c>
      <c r="K98" s="17" t="s">
        <v>33</v>
      </c>
      <c r="L98" s="23">
        <v>1</v>
      </c>
      <c r="M98" s="32"/>
    </row>
    <row r="99" spans="1:13" ht="15" customHeight="1" x14ac:dyDescent="0.25">
      <c r="A99" s="41"/>
      <c r="B99" s="19" t="s">
        <v>17</v>
      </c>
      <c r="C99" s="20"/>
      <c r="D99" s="20"/>
      <c r="E99" s="20"/>
      <c r="F99" s="20"/>
      <c r="G99" s="16"/>
      <c r="H99" s="20"/>
      <c r="I99" s="20"/>
      <c r="J99" s="16"/>
      <c r="K99" s="21"/>
      <c r="L99" s="24"/>
      <c r="M99" s="32"/>
    </row>
    <row r="100" spans="1:13" ht="15" customHeight="1" x14ac:dyDescent="0.25">
      <c r="A100" s="41"/>
      <c r="B100" s="19" t="s">
        <v>18</v>
      </c>
      <c r="C100" s="20"/>
      <c r="D100" s="20"/>
      <c r="E100" s="20"/>
      <c r="F100" s="20"/>
      <c r="G100" s="16"/>
      <c r="H100" s="20"/>
      <c r="I100" s="20"/>
      <c r="J100" s="16"/>
      <c r="K100" s="21"/>
      <c r="L100" s="24"/>
      <c r="M100" s="32"/>
    </row>
    <row r="101" spans="1:13" ht="15" customHeight="1" x14ac:dyDescent="0.25">
      <c r="A101" s="41"/>
      <c r="B101" s="19" t="s">
        <v>19</v>
      </c>
      <c r="C101" s="20">
        <v>39684.699999999997</v>
      </c>
      <c r="D101" s="31">
        <v>40089.800000000003</v>
      </c>
      <c r="E101" s="31">
        <v>39089.800000000003</v>
      </c>
      <c r="F101" s="31">
        <v>39491.562360000004</v>
      </c>
      <c r="G101" s="35">
        <f t="shared" si="0"/>
        <v>98.507755987807371</v>
      </c>
      <c r="H101" s="31">
        <v>39089.800000000003</v>
      </c>
      <c r="I101" s="31">
        <v>39491.562360000004</v>
      </c>
      <c r="J101" s="35">
        <f t="shared" si="1"/>
        <v>98.507755987807371</v>
      </c>
      <c r="K101" s="21"/>
      <c r="L101" s="24"/>
      <c r="M101" s="32"/>
    </row>
    <row r="102" spans="1:13" ht="15" customHeight="1" x14ac:dyDescent="0.25">
      <c r="A102" s="41"/>
      <c r="B102" s="19" t="s">
        <v>20</v>
      </c>
      <c r="C102" s="20"/>
      <c r="D102" s="31"/>
      <c r="E102" s="31"/>
      <c r="F102" s="31"/>
      <c r="G102" s="35"/>
      <c r="H102" s="31"/>
      <c r="I102" s="31"/>
      <c r="J102" s="35"/>
      <c r="K102" s="21"/>
      <c r="L102" s="24"/>
      <c r="M102" s="32"/>
    </row>
    <row r="103" spans="1:13" ht="15" customHeight="1" x14ac:dyDescent="0.25">
      <c r="A103" s="36"/>
      <c r="B103" s="19" t="s">
        <v>42</v>
      </c>
      <c r="C103" s="20"/>
      <c r="D103" s="31"/>
      <c r="E103" s="31"/>
      <c r="F103" s="31"/>
      <c r="G103" s="35"/>
      <c r="H103" s="31"/>
      <c r="I103" s="31"/>
      <c r="J103" s="35"/>
      <c r="K103" s="21"/>
      <c r="L103" s="24"/>
      <c r="M103" s="32"/>
    </row>
    <row r="104" spans="1:13" ht="55.9" customHeight="1" x14ac:dyDescent="0.25">
      <c r="A104" s="36"/>
      <c r="B104" s="34" t="s">
        <v>75</v>
      </c>
      <c r="C104" s="20"/>
      <c r="D104" s="31"/>
      <c r="E104" s="31"/>
      <c r="F104" s="31"/>
      <c r="G104" s="35"/>
      <c r="H104" s="31"/>
      <c r="I104" s="31"/>
      <c r="J104" s="35"/>
      <c r="K104" s="21"/>
      <c r="L104" s="24"/>
      <c r="M104" s="32"/>
    </row>
    <row r="105" spans="1:13" ht="15" customHeight="1" x14ac:dyDescent="0.25">
      <c r="A105" s="36"/>
      <c r="B105" s="19" t="s">
        <v>65</v>
      </c>
      <c r="C105" s="20"/>
      <c r="D105" s="31"/>
      <c r="E105" s="31"/>
      <c r="F105" s="31"/>
      <c r="G105" s="35"/>
      <c r="H105" s="31"/>
      <c r="I105" s="31"/>
      <c r="J105" s="35"/>
      <c r="K105" s="21"/>
      <c r="L105" s="39">
        <v>1</v>
      </c>
      <c r="M105" s="32"/>
    </row>
    <row r="106" spans="1:13" ht="15" customHeight="1" x14ac:dyDescent="0.25">
      <c r="A106" s="36"/>
      <c r="B106" s="19" t="s">
        <v>66</v>
      </c>
      <c r="C106" s="20"/>
      <c r="D106" s="31"/>
      <c r="E106" s="31"/>
      <c r="F106" s="31"/>
      <c r="G106" s="35"/>
      <c r="H106" s="31"/>
      <c r="I106" s="31"/>
      <c r="J106" s="35"/>
      <c r="K106" s="21"/>
      <c r="L106" s="39">
        <v>1</v>
      </c>
      <c r="M106" s="32"/>
    </row>
    <row r="107" spans="1:13" s="18" customFormat="1" ht="47.25" x14ac:dyDescent="0.25">
      <c r="A107" s="41" t="s">
        <v>47</v>
      </c>
      <c r="B107" s="15" t="s">
        <v>48</v>
      </c>
      <c r="C107" s="16">
        <f>C109+C110</f>
        <v>193347.1</v>
      </c>
      <c r="D107" s="35">
        <f>SUM(D109:D110)</f>
        <v>403236.54568000004</v>
      </c>
      <c r="E107" s="35">
        <f>E109+E110</f>
        <v>193207.30000000002</v>
      </c>
      <c r="F107" s="35">
        <f>SUM(F109:F110)</f>
        <v>388023.92219000007</v>
      </c>
      <c r="G107" s="35">
        <f>F107/D107*100</f>
        <v>96.227369852019223</v>
      </c>
      <c r="H107" s="35">
        <f>H109+H110</f>
        <v>214779.37000000002</v>
      </c>
      <c r="I107" s="35">
        <f>SUM(I109:I110)</f>
        <v>399269.18998000002</v>
      </c>
      <c r="J107" s="35">
        <f t="shared" ref="J107:J163" si="4">I107/D107*100</f>
        <v>99.016121990304811</v>
      </c>
      <c r="K107" s="17" t="s">
        <v>33</v>
      </c>
      <c r="L107" s="23">
        <v>1</v>
      </c>
      <c r="M107" s="32"/>
    </row>
    <row r="108" spans="1:13" ht="16.5" customHeight="1" x14ac:dyDescent="0.25">
      <c r="A108" s="41"/>
      <c r="B108" s="19" t="s">
        <v>17</v>
      </c>
      <c r="C108" s="20"/>
      <c r="D108" s="20"/>
      <c r="E108" s="20"/>
      <c r="F108" s="20"/>
      <c r="G108" s="16"/>
      <c r="H108" s="20"/>
      <c r="I108" s="20"/>
      <c r="J108" s="16"/>
      <c r="K108" s="21"/>
      <c r="L108" s="24"/>
      <c r="M108" s="32"/>
    </row>
    <row r="109" spans="1:13" ht="16.5" customHeight="1" x14ac:dyDescent="0.25">
      <c r="A109" s="41"/>
      <c r="B109" s="34" t="s">
        <v>18</v>
      </c>
      <c r="C109" s="31">
        <f>193411.5-64.4</f>
        <v>193347.1</v>
      </c>
      <c r="D109" s="31">
        <f>21261.57993+163516.2311+20897.43465+21257.2+176304.1</f>
        <v>403236.54568000004</v>
      </c>
      <c r="E109" s="31">
        <f>193271.7-64.4</f>
        <v>193207.30000000002</v>
      </c>
      <c r="F109" s="31">
        <f>21261.57993+163476.86631+6465.07595+21257.2+175563.2</f>
        <v>388023.92219000007</v>
      </c>
      <c r="G109" s="16">
        <f t="shared" ref="G109:G163" si="5">F109/D109*100</f>
        <v>96.227369852019223</v>
      </c>
      <c r="H109" s="20">
        <f>E109+21636.47-64.4</f>
        <v>214779.37000000002</v>
      </c>
      <c r="I109" s="20">
        <f>17572.78998+185339.3+20793.9+175563.2</f>
        <v>399269.18998000002</v>
      </c>
      <c r="J109" s="16">
        <f t="shared" si="4"/>
        <v>99.016121990304811</v>
      </c>
      <c r="K109" s="21"/>
      <c r="L109" s="24"/>
      <c r="M109" s="32"/>
    </row>
    <row r="110" spans="1:13" ht="16.5" customHeight="1" x14ac:dyDescent="0.25">
      <c r="A110" s="41"/>
      <c r="B110" s="19" t="s">
        <v>19</v>
      </c>
      <c r="C110" s="20"/>
      <c r="D110" s="20"/>
      <c r="E110" s="20"/>
      <c r="F110" s="20"/>
      <c r="G110" s="16"/>
      <c r="H110" s="20"/>
      <c r="I110" s="20"/>
      <c r="J110" s="16"/>
      <c r="K110" s="21"/>
      <c r="L110" s="24"/>
      <c r="M110" s="32"/>
    </row>
    <row r="111" spans="1:13" ht="16.5" customHeight="1" x14ac:dyDescent="0.25">
      <c r="A111" s="41"/>
      <c r="B111" s="19" t="s">
        <v>20</v>
      </c>
      <c r="C111" s="20"/>
      <c r="D111" s="20"/>
      <c r="E111" s="20"/>
      <c r="F111" s="20"/>
      <c r="G111" s="16"/>
      <c r="H111" s="20"/>
      <c r="I111" s="20"/>
      <c r="J111" s="16"/>
      <c r="K111" s="21"/>
      <c r="L111" s="24"/>
      <c r="M111" s="32"/>
    </row>
    <row r="112" spans="1:13" ht="16.5" customHeight="1" x14ac:dyDescent="0.25">
      <c r="A112" s="36"/>
      <c r="B112" s="19" t="s">
        <v>42</v>
      </c>
      <c r="C112" s="20"/>
      <c r="D112" s="20"/>
      <c r="E112" s="20"/>
      <c r="F112" s="20"/>
      <c r="G112" s="16"/>
      <c r="H112" s="20"/>
      <c r="I112" s="20"/>
      <c r="J112" s="16"/>
      <c r="K112" s="21"/>
      <c r="L112" s="24"/>
      <c r="M112" s="32"/>
    </row>
    <row r="113" spans="1:13" ht="37.15" customHeight="1" x14ac:dyDescent="0.25">
      <c r="A113" s="36"/>
      <c r="B113" s="34" t="s">
        <v>76</v>
      </c>
      <c r="C113" s="20"/>
      <c r="D113" s="20"/>
      <c r="E113" s="20"/>
      <c r="F113" s="20"/>
      <c r="G113" s="16"/>
      <c r="H113" s="20"/>
      <c r="I113" s="20"/>
      <c r="J113" s="16"/>
      <c r="K113" s="21"/>
      <c r="L113" s="24"/>
      <c r="M113" s="32"/>
    </row>
    <row r="114" spans="1:13" ht="16.5" customHeight="1" x14ac:dyDescent="0.25">
      <c r="A114" s="36"/>
      <c r="B114" s="19" t="s">
        <v>65</v>
      </c>
      <c r="C114" s="20"/>
      <c r="D114" s="20"/>
      <c r="E114" s="20"/>
      <c r="F114" s="20"/>
      <c r="G114" s="16"/>
      <c r="H114" s="20"/>
      <c r="I114" s="20"/>
      <c r="J114" s="16"/>
      <c r="K114" s="21"/>
      <c r="L114" s="39">
        <v>1</v>
      </c>
      <c r="M114" s="32"/>
    </row>
    <row r="115" spans="1:13" ht="16.5" customHeight="1" x14ac:dyDescent="0.25">
      <c r="A115" s="36"/>
      <c r="B115" s="19" t="s">
        <v>66</v>
      </c>
      <c r="C115" s="20"/>
      <c r="D115" s="20"/>
      <c r="E115" s="20"/>
      <c r="F115" s="20"/>
      <c r="G115" s="16"/>
      <c r="H115" s="20"/>
      <c r="I115" s="20"/>
      <c r="J115" s="16"/>
      <c r="K115" s="21"/>
      <c r="L115" s="39">
        <v>1</v>
      </c>
      <c r="M115" s="32"/>
    </row>
    <row r="116" spans="1:13" s="18" customFormat="1" ht="36" x14ac:dyDescent="0.25">
      <c r="A116" s="41" t="s">
        <v>49</v>
      </c>
      <c r="B116" s="15" t="s">
        <v>50</v>
      </c>
      <c r="C116" s="16">
        <f>C118+C119</f>
        <v>14674.2</v>
      </c>
      <c r="D116" s="16">
        <f>SUM(D118:D120)</f>
        <v>15328.249159999999</v>
      </c>
      <c r="E116" s="16">
        <f>E118+E119</f>
        <v>13404.81905</v>
      </c>
      <c r="F116" s="16">
        <f>SUM(F118:F120)</f>
        <v>15301.814149999998</v>
      </c>
      <c r="G116" s="16">
        <f t="shared" si="5"/>
        <v>99.827540577374066</v>
      </c>
      <c r="H116" s="16">
        <f>H118+H119</f>
        <v>14610.1</v>
      </c>
      <c r="I116" s="16">
        <f>SUM(I118:I120)</f>
        <v>15301.8</v>
      </c>
      <c r="J116" s="16">
        <f t="shared" si="4"/>
        <v>99.827448264156487</v>
      </c>
      <c r="K116" s="17" t="s">
        <v>33</v>
      </c>
      <c r="L116" s="23">
        <v>1</v>
      </c>
      <c r="M116" s="32"/>
    </row>
    <row r="117" spans="1:13" ht="15.75" customHeight="1" x14ac:dyDescent="0.25">
      <c r="A117" s="41"/>
      <c r="B117" s="19" t="s">
        <v>17</v>
      </c>
      <c r="C117" s="20"/>
      <c r="D117" s="20"/>
      <c r="E117" s="20"/>
      <c r="F117" s="20"/>
      <c r="G117" s="16"/>
      <c r="H117" s="20"/>
      <c r="I117" s="20"/>
      <c r="J117" s="16"/>
      <c r="K117" s="21"/>
      <c r="L117" s="24"/>
      <c r="M117" s="32"/>
    </row>
    <row r="118" spans="1:13" ht="15.75" customHeight="1" x14ac:dyDescent="0.25">
      <c r="A118" s="41"/>
      <c r="B118" s="34" t="s">
        <v>18</v>
      </c>
      <c r="C118" s="31">
        <v>14674.2</v>
      </c>
      <c r="D118" s="31">
        <f>1487.64692+11802.08906+2038.51318</f>
        <v>15328.249159999999</v>
      </c>
      <c r="E118" s="31">
        <v>13404.81905</v>
      </c>
      <c r="F118" s="31">
        <f>1487.64692+11775.65405+2038.51318</f>
        <v>15301.814149999998</v>
      </c>
      <c r="G118" s="35">
        <f t="shared" si="5"/>
        <v>99.827540577374066</v>
      </c>
      <c r="H118" s="31">
        <v>14610.1</v>
      </c>
      <c r="I118" s="31">
        <v>15301.8</v>
      </c>
      <c r="J118" s="35">
        <f t="shared" si="4"/>
        <v>99.827448264156487</v>
      </c>
      <c r="K118" s="21"/>
      <c r="L118" s="24"/>
      <c r="M118" s="32"/>
    </row>
    <row r="119" spans="1:13" ht="15.75" customHeight="1" x14ac:dyDescent="0.25">
      <c r="A119" s="41"/>
      <c r="B119" s="19" t="s">
        <v>19</v>
      </c>
      <c r="C119" s="20"/>
      <c r="D119" s="20"/>
      <c r="E119" s="20"/>
      <c r="F119" s="20"/>
      <c r="G119" s="16"/>
      <c r="H119" s="20"/>
      <c r="I119" s="20"/>
      <c r="J119" s="16"/>
      <c r="K119" s="21"/>
      <c r="L119" s="24"/>
      <c r="M119" s="32"/>
    </row>
    <row r="120" spans="1:13" ht="15.75" customHeight="1" x14ac:dyDescent="0.25">
      <c r="A120" s="41"/>
      <c r="B120" s="19" t="s">
        <v>20</v>
      </c>
      <c r="C120" s="20"/>
      <c r="D120" s="20"/>
      <c r="E120" s="20"/>
      <c r="F120" s="20"/>
      <c r="G120" s="16"/>
      <c r="H120" s="20"/>
      <c r="I120" s="20"/>
      <c r="J120" s="16"/>
      <c r="K120" s="21"/>
      <c r="L120" s="24"/>
      <c r="M120" s="32"/>
    </row>
    <row r="121" spans="1:13" ht="15.75" customHeight="1" x14ac:dyDescent="0.25">
      <c r="A121" s="36"/>
      <c r="B121" s="19" t="s">
        <v>42</v>
      </c>
      <c r="C121" s="20"/>
      <c r="D121" s="20"/>
      <c r="E121" s="20"/>
      <c r="F121" s="20"/>
      <c r="G121" s="16"/>
      <c r="H121" s="20"/>
      <c r="I121" s="20"/>
      <c r="J121" s="16"/>
      <c r="K121" s="21"/>
      <c r="L121" s="24"/>
      <c r="M121" s="32"/>
    </row>
    <row r="122" spans="1:13" ht="37.15" customHeight="1" x14ac:dyDescent="0.25">
      <c r="A122" s="36"/>
      <c r="B122" s="34" t="s">
        <v>77</v>
      </c>
      <c r="C122" s="20"/>
      <c r="D122" s="20"/>
      <c r="E122" s="20"/>
      <c r="F122" s="20"/>
      <c r="G122" s="16"/>
      <c r="H122" s="20"/>
      <c r="I122" s="20"/>
      <c r="J122" s="16"/>
      <c r="K122" s="21"/>
      <c r="L122" s="24"/>
      <c r="M122" s="32"/>
    </row>
    <row r="123" spans="1:13" ht="15.75" customHeight="1" x14ac:dyDescent="0.25">
      <c r="A123" s="36"/>
      <c r="B123" s="19" t="s">
        <v>65</v>
      </c>
      <c r="C123" s="20"/>
      <c r="D123" s="20"/>
      <c r="E123" s="20"/>
      <c r="F123" s="20"/>
      <c r="G123" s="16"/>
      <c r="H123" s="20"/>
      <c r="I123" s="20"/>
      <c r="J123" s="16"/>
      <c r="K123" s="21"/>
      <c r="L123" s="39">
        <v>1</v>
      </c>
      <c r="M123" s="32"/>
    </row>
    <row r="124" spans="1:13" ht="15.75" customHeight="1" x14ac:dyDescent="0.25">
      <c r="A124" s="36"/>
      <c r="B124" s="19" t="s">
        <v>66</v>
      </c>
      <c r="C124" s="20"/>
      <c r="D124" s="20"/>
      <c r="E124" s="20"/>
      <c r="F124" s="20"/>
      <c r="G124" s="16"/>
      <c r="H124" s="20"/>
      <c r="I124" s="20"/>
      <c r="J124" s="16"/>
      <c r="K124" s="21"/>
      <c r="L124" s="39">
        <v>1</v>
      </c>
      <c r="M124" s="32"/>
    </row>
    <row r="125" spans="1:13" s="18" customFormat="1" ht="36" x14ac:dyDescent="0.25">
      <c r="A125" s="41" t="s">
        <v>51</v>
      </c>
      <c r="B125" s="15" t="s">
        <v>52</v>
      </c>
      <c r="C125" s="16">
        <f>C127+C128</f>
        <v>5852.4223499999998</v>
      </c>
      <c r="D125" s="16">
        <f>SUM(D127:D129)</f>
        <v>7534.2865599999996</v>
      </c>
      <c r="E125" s="16">
        <f>E127+E128</f>
        <v>5486.5633600000001</v>
      </c>
      <c r="F125" s="16">
        <f>SUM(F127:F129)</f>
        <v>5652.8669199999995</v>
      </c>
      <c r="G125" s="16">
        <f t="shared" si="5"/>
        <v>75.028562757506791</v>
      </c>
      <c r="H125" s="16">
        <f>H127+H128</f>
        <v>6067.9633599999997</v>
      </c>
      <c r="I125" s="16">
        <f>SUM(I127:I129)</f>
        <v>5969</v>
      </c>
      <c r="J125" s="16">
        <f t="shared" si="4"/>
        <v>79.224488642226532</v>
      </c>
      <c r="K125" s="17" t="s">
        <v>33</v>
      </c>
      <c r="L125" s="23">
        <v>1</v>
      </c>
      <c r="M125" s="32"/>
    </row>
    <row r="126" spans="1:13" ht="15.75" customHeight="1" x14ac:dyDescent="0.25">
      <c r="A126" s="41"/>
      <c r="B126" s="19" t="s">
        <v>17</v>
      </c>
      <c r="C126" s="20"/>
      <c r="D126" s="20"/>
      <c r="E126" s="20"/>
      <c r="F126" s="20"/>
      <c r="G126" s="16"/>
      <c r="H126" s="20"/>
      <c r="I126" s="20"/>
      <c r="J126" s="16"/>
      <c r="K126" s="21"/>
      <c r="L126" s="24"/>
      <c r="M126" s="32"/>
    </row>
    <row r="127" spans="1:13" ht="15.75" customHeight="1" x14ac:dyDescent="0.25">
      <c r="A127" s="41"/>
      <c r="B127" s="19" t="s">
        <v>18</v>
      </c>
      <c r="C127" s="20">
        <v>5852.4223499999998</v>
      </c>
      <c r="D127" s="31">
        <f>697.49957+6255+581.78699</f>
        <v>7534.2865599999996</v>
      </c>
      <c r="E127" s="31">
        <v>5486.5633600000001</v>
      </c>
      <c r="F127" s="31">
        <f>697.49957+4603.64604+351.72131</f>
        <v>5652.8669199999995</v>
      </c>
      <c r="G127" s="35">
        <f t="shared" si="5"/>
        <v>75.028562757506791</v>
      </c>
      <c r="H127" s="31">
        <f>E127+581.4</f>
        <v>6067.9633599999997</v>
      </c>
      <c r="I127" s="31">
        <v>5969</v>
      </c>
      <c r="J127" s="35">
        <f t="shared" si="4"/>
        <v>79.224488642226532</v>
      </c>
      <c r="K127" s="21"/>
      <c r="L127" s="24"/>
      <c r="M127" s="32"/>
    </row>
    <row r="128" spans="1:13" ht="15.75" customHeight="1" x14ac:dyDescent="0.25">
      <c r="A128" s="41"/>
      <c r="B128" s="19" t="s">
        <v>19</v>
      </c>
      <c r="C128" s="20"/>
      <c r="D128" s="20"/>
      <c r="E128" s="20"/>
      <c r="F128" s="20"/>
      <c r="G128" s="16"/>
      <c r="H128" s="20"/>
      <c r="I128" s="20"/>
      <c r="J128" s="16"/>
      <c r="K128" s="21"/>
      <c r="L128" s="24"/>
      <c r="M128" s="32"/>
    </row>
    <row r="129" spans="1:13" ht="15.75" customHeight="1" x14ac:dyDescent="0.25">
      <c r="A129" s="41"/>
      <c r="B129" s="19" t="s">
        <v>20</v>
      </c>
      <c r="C129" s="20"/>
      <c r="D129" s="20"/>
      <c r="E129" s="20"/>
      <c r="F129" s="20"/>
      <c r="G129" s="16"/>
      <c r="H129" s="20"/>
      <c r="I129" s="20"/>
      <c r="J129" s="16"/>
      <c r="K129" s="21"/>
      <c r="L129" s="24"/>
      <c r="M129" s="32"/>
    </row>
    <row r="130" spans="1:13" ht="15.75" customHeight="1" x14ac:dyDescent="0.25">
      <c r="A130" s="36"/>
      <c r="B130" s="19" t="s">
        <v>42</v>
      </c>
      <c r="C130" s="20"/>
      <c r="D130" s="20"/>
      <c r="E130" s="20"/>
      <c r="F130" s="20"/>
      <c r="G130" s="16"/>
      <c r="H130" s="20"/>
      <c r="I130" s="20"/>
      <c r="J130" s="16"/>
      <c r="K130" s="21"/>
      <c r="L130" s="24"/>
      <c r="M130" s="32"/>
    </row>
    <row r="131" spans="1:13" ht="40.15" customHeight="1" x14ac:dyDescent="0.25">
      <c r="A131" s="36"/>
      <c r="B131" s="34" t="s">
        <v>78</v>
      </c>
      <c r="C131" s="20"/>
      <c r="D131" s="20"/>
      <c r="E131" s="20"/>
      <c r="F131" s="20"/>
      <c r="G131" s="16"/>
      <c r="H131" s="20"/>
      <c r="I131" s="20"/>
      <c r="J131" s="16"/>
      <c r="K131" s="21"/>
      <c r="L131" s="24"/>
      <c r="M131" s="32"/>
    </row>
    <row r="132" spans="1:13" ht="15.75" customHeight="1" x14ac:dyDescent="0.25">
      <c r="A132" s="36"/>
      <c r="B132" s="19" t="s">
        <v>65</v>
      </c>
      <c r="C132" s="20"/>
      <c r="D132" s="20"/>
      <c r="E132" s="20"/>
      <c r="F132" s="20"/>
      <c r="G132" s="16"/>
      <c r="H132" s="20"/>
      <c r="I132" s="20"/>
      <c r="J132" s="16"/>
      <c r="K132" s="21"/>
      <c r="L132" s="39">
        <v>1</v>
      </c>
      <c r="M132" s="32"/>
    </row>
    <row r="133" spans="1:13" ht="15.75" customHeight="1" x14ac:dyDescent="0.25">
      <c r="A133" s="36"/>
      <c r="B133" s="19" t="s">
        <v>66</v>
      </c>
      <c r="C133" s="20"/>
      <c r="D133" s="20"/>
      <c r="E133" s="20"/>
      <c r="F133" s="20"/>
      <c r="G133" s="16"/>
      <c r="H133" s="20"/>
      <c r="I133" s="20"/>
      <c r="J133" s="16"/>
      <c r="K133" s="21"/>
      <c r="L133" s="39">
        <v>1</v>
      </c>
      <c r="M133" s="32"/>
    </row>
    <row r="134" spans="1:13" s="18" customFormat="1" ht="63" x14ac:dyDescent="0.25">
      <c r="A134" s="41" t="s">
        <v>53</v>
      </c>
      <c r="B134" s="15" t="s">
        <v>54</v>
      </c>
      <c r="C134" s="16">
        <f>C136+C137</f>
        <v>558.5</v>
      </c>
      <c r="D134" s="16">
        <f>SUM(D136:D138)</f>
        <v>689.6</v>
      </c>
      <c r="E134" s="16">
        <f>E136+E137</f>
        <v>558.5</v>
      </c>
      <c r="F134" s="16">
        <f>SUM(F136:F138)</f>
        <v>480.21699999999998</v>
      </c>
      <c r="G134" s="16">
        <f t="shared" si="5"/>
        <v>69.637035962877022</v>
      </c>
      <c r="H134" s="16">
        <f>H136+H137</f>
        <v>558.5</v>
      </c>
      <c r="I134" s="16">
        <f>SUM(I136:I138)</f>
        <v>480.21699999999998</v>
      </c>
      <c r="J134" s="16">
        <f t="shared" si="4"/>
        <v>69.637035962877022</v>
      </c>
      <c r="K134" s="17" t="s">
        <v>33</v>
      </c>
      <c r="L134" s="23">
        <v>1</v>
      </c>
      <c r="M134" s="32"/>
    </row>
    <row r="135" spans="1:13" ht="14.25" customHeight="1" x14ac:dyDescent="0.25">
      <c r="A135" s="41"/>
      <c r="B135" s="19" t="s">
        <v>17</v>
      </c>
      <c r="C135" s="20"/>
      <c r="D135" s="20"/>
      <c r="E135" s="20"/>
      <c r="F135" s="20"/>
      <c r="G135" s="16"/>
      <c r="H135" s="20"/>
      <c r="I135" s="20"/>
      <c r="J135" s="16"/>
      <c r="K135" s="21"/>
      <c r="L135" s="24"/>
      <c r="M135" s="32"/>
    </row>
    <row r="136" spans="1:13" ht="14.25" customHeight="1" x14ac:dyDescent="0.25">
      <c r="A136" s="41"/>
      <c r="B136" s="19" t="s">
        <v>18</v>
      </c>
      <c r="C136" s="20">
        <v>64.400000000000006</v>
      </c>
      <c r="D136" s="31">
        <v>46</v>
      </c>
      <c r="E136" s="31">
        <v>64.400000000000006</v>
      </c>
      <c r="F136" s="31">
        <v>46</v>
      </c>
      <c r="G136" s="35">
        <f t="shared" si="5"/>
        <v>100</v>
      </c>
      <c r="H136" s="31">
        <v>64.400000000000006</v>
      </c>
      <c r="I136" s="31">
        <v>46</v>
      </c>
      <c r="J136" s="16">
        <f t="shared" si="4"/>
        <v>100</v>
      </c>
      <c r="K136" s="21"/>
      <c r="L136" s="24"/>
      <c r="M136" s="32"/>
    </row>
    <row r="137" spans="1:13" ht="14.25" customHeight="1" x14ac:dyDescent="0.25">
      <c r="A137" s="41"/>
      <c r="B137" s="19" t="s">
        <v>19</v>
      </c>
      <c r="C137" s="20">
        <v>494.1</v>
      </c>
      <c r="D137" s="31">
        <f>293+350.6</f>
        <v>643.6</v>
      </c>
      <c r="E137" s="31">
        <v>494.1</v>
      </c>
      <c r="F137" s="31">
        <f>224.595+209.622</f>
        <v>434.21699999999998</v>
      </c>
      <c r="G137" s="35">
        <f t="shared" si="5"/>
        <v>67.466904909881904</v>
      </c>
      <c r="H137" s="31">
        <v>494.1</v>
      </c>
      <c r="I137" s="31">
        <f>224.595+209.622</f>
        <v>434.21699999999998</v>
      </c>
      <c r="J137" s="16">
        <f t="shared" si="4"/>
        <v>67.466904909881904</v>
      </c>
      <c r="K137" s="21"/>
      <c r="L137" s="24"/>
      <c r="M137" s="32"/>
    </row>
    <row r="138" spans="1:13" ht="14.25" customHeight="1" x14ac:dyDescent="0.25">
      <c r="A138" s="41"/>
      <c r="B138" s="19" t="s">
        <v>20</v>
      </c>
      <c r="C138" s="20"/>
      <c r="D138" s="20"/>
      <c r="E138" s="20"/>
      <c r="F138" s="20"/>
      <c r="G138" s="16"/>
      <c r="H138" s="20"/>
      <c r="I138" s="20"/>
      <c r="J138" s="16"/>
      <c r="K138" s="21"/>
      <c r="L138" s="24"/>
      <c r="M138" s="32"/>
    </row>
    <row r="139" spans="1:13" ht="14.25" customHeight="1" x14ac:dyDescent="0.25">
      <c r="A139" s="36"/>
      <c r="B139" s="19" t="s">
        <v>42</v>
      </c>
      <c r="C139" s="20"/>
      <c r="D139" s="20"/>
      <c r="E139" s="20"/>
      <c r="F139" s="20"/>
      <c r="G139" s="16"/>
      <c r="H139" s="20"/>
      <c r="I139" s="20"/>
      <c r="J139" s="16"/>
      <c r="K139" s="21"/>
      <c r="L139" s="24"/>
      <c r="M139" s="32"/>
    </row>
    <row r="140" spans="1:13" ht="28.9" customHeight="1" x14ac:dyDescent="0.25">
      <c r="A140" s="36"/>
      <c r="B140" s="34" t="s">
        <v>79</v>
      </c>
      <c r="C140" s="20"/>
      <c r="D140" s="20"/>
      <c r="E140" s="20"/>
      <c r="F140" s="20"/>
      <c r="G140" s="16"/>
      <c r="H140" s="20"/>
      <c r="I140" s="20"/>
      <c r="J140" s="16"/>
      <c r="K140" s="21"/>
      <c r="L140" s="24"/>
      <c r="M140" s="32"/>
    </row>
    <row r="141" spans="1:13" ht="14.25" customHeight="1" x14ac:dyDescent="0.25">
      <c r="A141" s="36"/>
      <c r="B141" s="19" t="s">
        <v>65</v>
      </c>
      <c r="C141" s="20"/>
      <c r="D141" s="20"/>
      <c r="E141" s="20"/>
      <c r="F141" s="20"/>
      <c r="G141" s="16"/>
      <c r="H141" s="20"/>
      <c r="I141" s="20"/>
      <c r="J141" s="16"/>
      <c r="K141" s="21"/>
      <c r="L141" s="39">
        <v>1</v>
      </c>
      <c r="M141" s="32"/>
    </row>
    <row r="142" spans="1:13" ht="14.25" customHeight="1" x14ac:dyDescent="0.25">
      <c r="A142" s="36"/>
      <c r="B142" s="19" t="s">
        <v>66</v>
      </c>
      <c r="C142" s="20"/>
      <c r="D142" s="20"/>
      <c r="E142" s="20"/>
      <c r="F142" s="20"/>
      <c r="G142" s="16"/>
      <c r="H142" s="20"/>
      <c r="I142" s="20"/>
      <c r="J142" s="16"/>
      <c r="K142" s="21"/>
      <c r="L142" s="39">
        <v>1</v>
      </c>
      <c r="M142" s="32"/>
    </row>
    <row r="143" spans="1:13" s="18" customFormat="1" ht="77.25" customHeight="1" x14ac:dyDescent="0.25">
      <c r="A143" s="41" t="s">
        <v>55</v>
      </c>
      <c r="B143" s="26" t="s">
        <v>56</v>
      </c>
      <c r="C143" s="16">
        <f>C145+C146</f>
        <v>4717.1000000000004</v>
      </c>
      <c r="D143" s="16">
        <f>SUM(D145:D146)</f>
        <v>5009.8999999999996</v>
      </c>
      <c r="E143" s="16">
        <f>E145+E146</f>
        <v>4515.6000000000004</v>
      </c>
      <c r="F143" s="16">
        <f>SUM(F145:F146)</f>
        <v>4216.8</v>
      </c>
      <c r="G143" s="16">
        <f t="shared" si="5"/>
        <v>84.169344697498957</v>
      </c>
      <c r="H143" s="16">
        <f>H145+H146</f>
        <v>4717.1000000000004</v>
      </c>
      <c r="I143" s="16">
        <f>SUM(I145:I146)</f>
        <v>4216.8063600000005</v>
      </c>
      <c r="J143" s="16">
        <f t="shared" si="4"/>
        <v>84.169471646140664</v>
      </c>
      <c r="K143" s="17" t="s">
        <v>36</v>
      </c>
      <c r="L143" s="23">
        <v>1</v>
      </c>
      <c r="M143" s="32"/>
    </row>
    <row r="144" spans="1:13" x14ac:dyDescent="0.25">
      <c r="A144" s="41"/>
      <c r="B144" s="19" t="s">
        <v>17</v>
      </c>
      <c r="C144" s="20"/>
      <c r="D144" s="20"/>
      <c r="E144" s="20"/>
      <c r="F144" s="20"/>
      <c r="G144" s="16"/>
      <c r="H144" s="20"/>
      <c r="I144" s="20"/>
      <c r="J144" s="16"/>
      <c r="K144" s="21"/>
      <c r="L144" s="24"/>
      <c r="M144" s="32"/>
    </row>
    <row r="145" spans="1:13" x14ac:dyDescent="0.25">
      <c r="A145" s="41"/>
      <c r="B145" s="34" t="s">
        <v>18</v>
      </c>
      <c r="C145" s="31">
        <v>4717.1000000000004</v>
      </c>
      <c r="D145" s="31">
        <f>500+4083.6318+350.3682+23+52.9</f>
        <v>5009.8999999999996</v>
      </c>
      <c r="E145" s="31">
        <v>4515.6000000000004</v>
      </c>
      <c r="F145" s="31">
        <v>4216.8</v>
      </c>
      <c r="G145" s="35">
        <f t="shared" si="5"/>
        <v>84.169344697498957</v>
      </c>
      <c r="H145" s="31">
        <v>4717.1000000000004</v>
      </c>
      <c r="I145" s="31">
        <f>18.546+63.34752+37.7621+70.10614+11+8.9838+163.8608+3626.1+20.5+52.9+143.7</f>
        <v>4216.8063600000005</v>
      </c>
      <c r="J145" s="35">
        <f t="shared" si="4"/>
        <v>84.169471646140664</v>
      </c>
      <c r="K145" s="21"/>
      <c r="L145" s="24"/>
      <c r="M145" s="32"/>
    </row>
    <row r="146" spans="1:13" x14ac:dyDescent="0.25">
      <c r="A146" s="41"/>
      <c r="B146" s="19" t="s">
        <v>19</v>
      </c>
      <c r="C146" s="20"/>
      <c r="D146" s="20"/>
      <c r="E146" s="20"/>
      <c r="F146" s="20"/>
      <c r="G146" s="16"/>
      <c r="H146" s="20"/>
      <c r="I146" s="20"/>
      <c r="J146" s="16"/>
      <c r="K146" s="21"/>
      <c r="L146" s="24"/>
      <c r="M146" s="32"/>
    </row>
    <row r="147" spans="1:13" x14ac:dyDescent="0.25">
      <c r="A147" s="41"/>
      <c r="B147" s="19" t="s">
        <v>20</v>
      </c>
      <c r="C147" s="20"/>
      <c r="D147" s="20"/>
      <c r="E147" s="20"/>
      <c r="F147" s="20"/>
      <c r="G147" s="16"/>
      <c r="H147" s="20"/>
      <c r="I147" s="20"/>
      <c r="J147" s="16"/>
      <c r="K147" s="21"/>
      <c r="L147" s="24"/>
      <c r="M147" s="32"/>
    </row>
    <row r="148" spans="1:13" x14ac:dyDescent="0.25">
      <c r="A148" s="36"/>
      <c r="B148" s="19" t="s">
        <v>42</v>
      </c>
      <c r="C148" s="20"/>
      <c r="D148" s="20"/>
      <c r="E148" s="20"/>
      <c r="F148" s="20"/>
      <c r="G148" s="16"/>
      <c r="H148" s="20"/>
      <c r="I148" s="20"/>
      <c r="J148" s="16"/>
      <c r="K148" s="21"/>
      <c r="L148" s="24"/>
      <c r="M148" s="32"/>
    </row>
    <row r="149" spans="1:13" ht="39" x14ac:dyDescent="0.25">
      <c r="A149" s="36"/>
      <c r="B149" s="34" t="s">
        <v>80</v>
      </c>
      <c r="C149" s="20"/>
      <c r="D149" s="20"/>
      <c r="E149" s="20"/>
      <c r="F149" s="20"/>
      <c r="G149" s="16"/>
      <c r="H149" s="20"/>
      <c r="I149" s="20"/>
      <c r="J149" s="16"/>
      <c r="K149" s="21"/>
      <c r="L149" s="24"/>
      <c r="M149" s="32"/>
    </row>
    <row r="150" spans="1:13" x14ac:dyDescent="0.25">
      <c r="A150" s="36"/>
      <c r="B150" s="19" t="s">
        <v>65</v>
      </c>
      <c r="C150" s="20"/>
      <c r="D150" s="20"/>
      <c r="E150" s="20"/>
      <c r="F150" s="20"/>
      <c r="G150" s="16"/>
      <c r="H150" s="20"/>
      <c r="I150" s="20"/>
      <c r="J150" s="16"/>
      <c r="K150" s="21"/>
      <c r="L150" s="39">
        <v>1</v>
      </c>
      <c r="M150" s="32"/>
    </row>
    <row r="151" spans="1:13" x14ac:dyDescent="0.25">
      <c r="A151" s="36"/>
      <c r="B151" s="19" t="s">
        <v>66</v>
      </c>
      <c r="C151" s="20"/>
      <c r="D151" s="20"/>
      <c r="E151" s="20"/>
      <c r="F151" s="20"/>
      <c r="G151" s="16"/>
      <c r="H151" s="20"/>
      <c r="I151" s="20"/>
      <c r="J151" s="16"/>
      <c r="K151" s="21"/>
      <c r="L151" s="39">
        <v>1</v>
      </c>
      <c r="M151" s="32"/>
    </row>
    <row r="152" spans="1:13" s="18" customFormat="1" ht="45.75" customHeight="1" x14ac:dyDescent="0.25">
      <c r="A152" s="41" t="s">
        <v>57</v>
      </c>
      <c r="B152" s="26" t="s">
        <v>58</v>
      </c>
      <c r="C152" s="16">
        <f>C154+C155</f>
        <v>391</v>
      </c>
      <c r="D152" s="16">
        <f>SUM(D154:D156)</f>
        <v>391</v>
      </c>
      <c r="E152" s="16">
        <f>E154+E155</f>
        <v>391</v>
      </c>
      <c r="F152" s="16">
        <f>SUM(F154:F156)</f>
        <v>390.6</v>
      </c>
      <c r="G152" s="16">
        <f t="shared" si="5"/>
        <v>99.897698209718683</v>
      </c>
      <c r="H152" s="16">
        <f>H154+H155</f>
        <v>391</v>
      </c>
      <c r="I152" s="16">
        <f>SUM(I154:I156)</f>
        <v>390.6</v>
      </c>
      <c r="J152" s="16">
        <f t="shared" si="4"/>
        <v>99.897698209718683</v>
      </c>
      <c r="K152" s="17" t="s">
        <v>33</v>
      </c>
      <c r="L152" s="23">
        <v>1</v>
      </c>
      <c r="M152" s="32"/>
    </row>
    <row r="153" spans="1:13" ht="15.75" customHeight="1" x14ac:dyDescent="0.25">
      <c r="A153" s="41"/>
      <c r="B153" s="19" t="s">
        <v>17</v>
      </c>
      <c r="C153" s="20"/>
      <c r="D153" s="20"/>
      <c r="E153" s="20"/>
      <c r="F153" s="20"/>
      <c r="G153" s="16"/>
      <c r="H153" s="20"/>
      <c r="I153" s="20"/>
      <c r="J153" s="16"/>
      <c r="K153" s="21"/>
      <c r="L153" s="24"/>
      <c r="M153" s="32"/>
    </row>
    <row r="154" spans="1:13" ht="15.75" customHeight="1" x14ac:dyDescent="0.25">
      <c r="A154" s="41"/>
      <c r="B154" s="19" t="s">
        <v>18</v>
      </c>
      <c r="C154" s="20">
        <v>391</v>
      </c>
      <c r="D154" s="31">
        <v>391</v>
      </c>
      <c r="E154" s="31">
        <v>391</v>
      </c>
      <c r="F154" s="31">
        <v>390.6</v>
      </c>
      <c r="G154" s="35">
        <f t="shared" si="5"/>
        <v>99.897698209718683</v>
      </c>
      <c r="H154" s="31">
        <v>391</v>
      </c>
      <c r="I154" s="31">
        <v>390.6</v>
      </c>
      <c r="J154" s="16">
        <f t="shared" si="4"/>
        <v>99.897698209718683</v>
      </c>
      <c r="K154" s="21"/>
      <c r="L154" s="24"/>
      <c r="M154" s="32"/>
    </row>
    <row r="155" spans="1:13" ht="15.75" customHeight="1" x14ac:dyDescent="0.25">
      <c r="A155" s="41"/>
      <c r="B155" s="19" t="s">
        <v>19</v>
      </c>
      <c r="C155" s="20"/>
      <c r="D155" s="20"/>
      <c r="E155" s="20"/>
      <c r="F155" s="20"/>
      <c r="G155" s="16"/>
      <c r="H155" s="20"/>
      <c r="I155" s="20"/>
      <c r="J155" s="16"/>
      <c r="K155" s="21"/>
      <c r="L155" s="24"/>
      <c r="M155" s="32"/>
    </row>
    <row r="156" spans="1:13" ht="15.75" customHeight="1" x14ac:dyDescent="0.25">
      <c r="A156" s="41"/>
      <c r="B156" s="19" t="s">
        <v>20</v>
      </c>
      <c r="C156" s="20"/>
      <c r="D156" s="20"/>
      <c r="E156" s="20"/>
      <c r="F156" s="20"/>
      <c r="G156" s="16"/>
      <c r="H156" s="20"/>
      <c r="I156" s="20"/>
      <c r="J156" s="16"/>
      <c r="K156" s="21"/>
      <c r="L156" s="24"/>
      <c r="M156" s="32"/>
    </row>
    <row r="157" spans="1:13" ht="15.75" customHeight="1" x14ac:dyDescent="0.25">
      <c r="A157" s="36"/>
      <c r="B157" s="19" t="s">
        <v>42</v>
      </c>
      <c r="C157" s="20"/>
      <c r="D157" s="20"/>
      <c r="E157" s="20"/>
      <c r="F157" s="20"/>
      <c r="G157" s="16"/>
      <c r="H157" s="20"/>
      <c r="I157" s="20"/>
      <c r="J157" s="16"/>
      <c r="K157" s="21"/>
      <c r="L157" s="24"/>
      <c r="M157" s="32"/>
    </row>
    <row r="158" spans="1:13" ht="38.450000000000003" customHeight="1" x14ac:dyDescent="0.25">
      <c r="A158" s="36"/>
      <c r="B158" s="34" t="s">
        <v>81</v>
      </c>
      <c r="C158" s="20"/>
      <c r="D158" s="20"/>
      <c r="E158" s="20"/>
      <c r="F158" s="20"/>
      <c r="G158" s="16"/>
      <c r="H158" s="20"/>
      <c r="I158" s="20"/>
      <c r="J158" s="16"/>
      <c r="K158" s="21"/>
      <c r="L158" s="24"/>
      <c r="M158" s="32"/>
    </row>
    <row r="159" spans="1:13" ht="15.75" customHeight="1" x14ac:dyDescent="0.25">
      <c r="A159" s="36"/>
      <c r="B159" s="19" t="s">
        <v>65</v>
      </c>
      <c r="C159" s="20"/>
      <c r="D159" s="20"/>
      <c r="E159" s="20"/>
      <c r="F159" s="20"/>
      <c r="G159" s="16"/>
      <c r="H159" s="20"/>
      <c r="I159" s="20"/>
      <c r="J159" s="16"/>
      <c r="K159" s="21"/>
      <c r="L159" s="39">
        <v>1</v>
      </c>
      <c r="M159" s="32"/>
    </row>
    <row r="160" spans="1:13" ht="15.75" customHeight="1" x14ac:dyDescent="0.25">
      <c r="A160" s="36"/>
      <c r="B160" s="19" t="s">
        <v>66</v>
      </c>
      <c r="C160" s="20"/>
      <c r="D160" s="20"/>
      <c r="E160" s="20"/>
      <c r="F160" s="20"/>
      <c r="G160" s="16"/>
      <c r="H160" s="20"/>
      <c r="I160" s="20"/>
      <c r="J160" s="16"/>
      <c r="K160" s="21"/>
      <c r="L160" s="39">
        <v>1</v>
      </c>
      <c r="M160" s="32"/>
    </row>
    <row r="161" spans="1:13" s="18" customFormat="1" ht="48" x14ac:dyDescent="0.25">
      <c r="A161" s="41" t="s">
        <v>59</v>
      </c>
      <c r="B161" s="26" t="s">
        <v>60</v>
      </c>
      <c r="C161" s="16">
        <f>C163+C164</f>
        <v>1098</v>
      </c>
      <c r="D161" s="16">
        <f>SUM(D163:D169)</f>
        <v>1098</v>
      </c>
      <c r="E161" s="16">
        <f>E163+E164</f>
        <v>1098</v>
      </c>
      <c r="F161" s="16">
        <f>SUM(F163:F169)</f>
        <v>1098</v>
      </c>
      <c r="G161" s="16">
        <f t="shared" si="5"/>
        <v>100</v>
      </c>
      <c r="H161" s="16">
        <f>H163+H164</f>
        <v>1098</v>
      </c>
      <c r="I161" s="16">
        <f>SUM(I163:I169)</f>
        <v>1098</v>
      </c>
      <c r="J161" s="16">
        <f t="shared" si="4"/>
        <v>100</v>
      </c>
      <c r="K161" s="17" t="s">
        <v>36</v>
      </c>
      <c r="L161" s="23">
        <v>1</v>
      </c>
      <c r="M161" s="32"/>
    </row>
    <row r="162" spans="1:13" ht="16.5" customHeight="1" x14ac:dyDescent="0.25">
      <c r="A162" s="41"/>
      <c r="B162" s="19" t="s">
        <v>17</v>
      </c>
      <c r="C162" s="20"/>
      <c r="D162" s="20"/>
      <c r="E162" s="20"/>
      <c r="F162" s="20"/>
      <c r="G162" s="16"/>
      <c r="H162" s="20"/>
      <c r="I162" s="20"/>
      <c r="J162" s="16"/>
      <c r="K162" s="21"/>
      <c r="L162" s="24"/>
      <c r="M162" s="32"/>
    </row>
    <row r="163" spans="1:13" ht="15" customHeight="1" x14ac:dyDescent="0.25">
      <c r="A163" s="41"/>
      <c r="B163" s="19" t="s">
        <v>18</v>
      </c>
      <c r="C163" s="20">
        <v>1098</v>
      </c>
      <c r="D163" s="31">
        <f>810+288</f>
        <v>1098</v>
      </c>
      <c r="E163" s="31">
        <v>1098</v>
      </c>
      <c r="F163" s="31">
        <f>810+288</f>
        <v>1098</v>
      </c>
      <c r="G163" s="35">
        <f t="shared" si="5"/>
        <v>100</v>
      </c>
      <c r="H163" s="31">
        <v>1098</v>
      </c>
      <c r="I163" s="31">
        <f>810+288</f>
        <v>1098</v>
      </c>
      <c r="J163" s="16">
        <f t="shared" si="4"/>
        <v>100</v>
      </c>
      <c r="K163" s="21"/>
      <c r="L163" s="24"/>
      <c r="M163" s="32"/>
    </row>
    <row r="164" spans="1:13" ht="15" customHeight="1" x14ac:dyDescent="0.25">
      <c r="A164" s="41"/>
      <c r="B164" s="19" t="s">
        <v>19</v>
      </c>
      <c r="C164" s="20"/>
      <c r="D164" s="20"/>
      <c r="E164" s="20"/>
      <c r="F164" s="20"/>
      <c r="G164" s="16"/>
      <c r="H164" s="20"/>
      <c r="I164" s="20"/>
      <c r="J164" s="16"/>
      <c r="K164" s="21"/>
      <c r="L164" s="24"/>
      <c r="M164" s="32"/>
    </row>
    <row r="165" spans="1:13" ht="15" customHeight="1" x14ac:dyDescent="0.25">
      <c r="A165" s="41"/>
      <c r="B165" s="19" t="s">
        <v>20</v>
      </c>
      <c r="C165" s="20"/>
      <c r="D165" s="20"/>
      <c r="E165" s="20"/>
      <c r="F165" s="20"/>
      <c r="G165" s="16"/>
      <c r="H165" s="20"/>
      <c r="I165" s="20"/>
      <c r="J165" s="16"/>
      <c r="K165" s="21"/>
      <c r="L165" s="24"/>
      <c r="M165" s="32"/>
    </row>
    <row r="166" spans="1:13" ht="15" customHeight="1" x14ac:dyDescent="0.25">
      <c r="A166" s="41"/>
      <c r="B166" s="19" t="s">
        <v>42</v>
      </c>
      <c r="C166" s="20"/>
      <c r="D166" s="20"/>
      <c r="E166" s="20"/>
      <c r="F166" s="20"/>
      <c r="G166" s="16"/>
      <c r="H166" s="20"/>
      <c r="I166" s="20"/>
      <c r="J166" s="16"/>
      <c r="K166" s="21"/>
      <c r="L166" s="24"/>
      <c r="M166" s="32"/>
    </row>
    <row r="167" spans="1:13" ht="39" customHeight="1" x14ac:dyDescent="0.25">
      <c r="A167" s="41"/>
      <c r="B167" s="34" t="s">
        <v>82</v>
      </c>
      <c r="C167" s="20"/>
      <c r="D167" s="20"/>
      <c r="E167" s="20"/>
      <c r="F167" s="20"/>
      <c r="G167" s="16"/>
      <c r="H167" s="20"/>
      <c r="I167" s="20"/>
      <c r="J167" s="16"/>
      <c r="K167" s="21"/>
      <c r="L167" s="24"/>
      <c r="M167" s="32"/>
    </row>
    <row r="168" spans="1:13" ht="15" customHeight="1" x14ac:dyDescent="0.25">
      <c r="A168" s="41"/>
      <c r="B168" s="19" t="s">
        <v>65</v>
      </c>
      <c r="C168" s="20"/>
      <c r="D168" s="20"/>
      <c r="E168" s="20"/>
      <c r="F168" s="20"/>
      <c r="G168" s="16"/>
      <c r="H168" s="20"/>
      <c r="I168" s="20"/>
      <c r="J168" s="16"/>
      <c r="K168" s="21"/>
      <c r="L168" s="39">
        <v>1</v>
      </c>
      <c r="M168" s="32"/>
    </row>
    <row r="169" spans="1:13" ht="15" customHeight="1" x14ac:dyDescent="0.25">
      <c r="A169" s="41"/>
      <c r="B169" s="19" t="s">
        <v>66</v>
      </c>
      <c r="C169" s="20"/>
      <c r="D169" s="20"/>
      <c r="E169" s="20"/>
      <c r="F169" s="20"/>
      <c r="G169" s="16"/>
      <c r="H169" s="20"/>
      <c r="I169" s="20"/>
      <c r="J169" s="16"/>
      <c r="K169" s="21"/>
      <c r="L169" s="39">
        <v>1</v>
      </c>
      <c r="M169" s="32"/>
    </row>
    <row r="171" spans="1:13" ht="15.75" x14ac:dyDescent="0.25">
      <c r="B171" s="27" t="s">
        <v>61</v>
      </c>
      <c r="C171" s="27"/>
      <c r="D171" s="27"/>
      <c r="J171" s="29" t="s">
        <v>62</v>
      </c>
      <c r="K171" s="30"/>
    </row>
  </sheetData>
  <autoFilter ref="A6:M169"/>
  <mergeCells count="23">
    <mergeCell ref="A7:A13"/>
    <mergeCell ref="A1:L1"/>
    <mergeCell ref="E3:G4"/>
    <mergeCell ref="H3:J4"/>
    <mergeCell ref="K3:K6"/>
    <mergeCell ref="L3:L6"/>
    <mergeCell ref="A116:A120"/>
    <mergeCell ref="A14:A19"/>
    <mergeCell ref="A24:A29"/>
    <mergeCell ref="A30:A35"/>
    <mergeCell ref="A40:A45"/>
    <mergeCell ref="A50:A54"/>
    <mergeCell ref="A59:A64"/>
    <mergeCell ref="A69:A74"/>
    <mergeCell ref="A79:A85"/>
    <mergeCell ref="A89:A93"/>
    <mergeCell ref="A98:A102"/>
    <mergeCell ref="A107:A111"/>
    <mergeCell ref="A125:A129"/>
    <mergeCell ref="A134:A138"/>
    <mergeCell ref="A143:A147"/>
    <mergeCell ref="A152:A156"/>
    <mergeCell ref="A161:A169"/>
  </mergeCells>
  <pageMargins left="0.23" right="0.11811023622047245" top="0.55118110236220474" bottom="0.19685039370078741" header="0.31496062992125984" footer="0.31496062992125984"/>
  <pageSetup paperSize="9" scale="8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Трахинина Жанна Викторовна</cp:lastModifiedBy>
  <cp:lastPrinted>2020-03-10T09:44:05Z</cp:lastPrinted>
  <dcterms:created xsi:type="dcterms:W3CDTF">2020-02-21T06:57:59Z</dcterms:created>
  <dcterms:modified xsi:type="dcterms:W3CDTF">2020-10-15T12:41:37Z</dcterms:modified>
</cp:coreProperties>
</file>