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440" windowHeight="12075"/>
  </bookViews>
  <sheets>
    <sheet name="целевые показатели" sheetId="1" r:id="rId1"/>
    <sheet name="перечень объектов" sheetId="2" r:id="rId2"/>
    <sheet name="прил.3" sheetId="3" r:id="rId3"/>
    <sheet name="Лист2" sheetId="4" r:id="rId4"/>
    <sheet name="по МК 56" sheetId="5" r:id="rId5"/>
    <sheet name="прил.4 файл не рабочий" sheetId="6" r:id="rId6"/>
    <sheet name="прил.5 файл не рабочий" sheetId="7" r:id="rId7"/>
    <sheet name="ФАКТ 2022" sheetId="8" r:id="rId8"/>
    <sheet name="Лист3" sheetId="9" r:id="rId9"/>
    <sheet name="Лист5" sheetId="10" r:id="rId10"/>
    <sheet name="Лист1" sheetId="11" r:id="rId11"/>
  </sheets>
  <externalReferences>
    <externalReference r:id="rId12"/>
  </externalReferences>
  <definedNames>
    <definedName name="_xlnm.Print_Titles" localSheetId="0">'целевые показатели'!$15:$17</definedName>
    <definedName name="_xlnm.Print_Area" localSheetId="1">'перечень объектов'!$A$1:$G$482</definedName>
    <definedName name="_xlnm.Print_Area" localSheetId="2">прил.3!$A$1:$I$29</definedName>
    <definedName name="_xlnm.Print_Area" localSheetId="5">'прил.4 файл не рабочий'!$A$1:$D$19</definedName>
    <definedName name="_xlnm.Print_Area" localSheetId="6">'прил.5 файл не рабочий'!$A$1:$J$34</definedName>
    <definedName name="_xlnm.Print_Area" localSheetId="0">'целевые показатели'!$A$1:$M$400</definedName>
  </definedNames>
  <calcPr calcId="145621"/>
</workbook>
</file>

<file path=xl/calcChain.xml><?xml version="1.0" encoding="utf-8"?>
<calcChain xmlns="http://schemas.openxmlformats.org/spreadsheetml/2006/main">
  <c r="B37" i="11" l="1"/>
  <c r="A37" i="11"/>
  <c r="B36" i="11"/>
  <c r="A36" i="11"/>
  <c r="B35" i="11"/>
  <c r="A35" i="11"/>
  <c r="B34" i="11"/>
  <c r="A34" i="11"/>
  <c r="B33" i="11"/>
  <c r="A33" i="11"/>
  <c r="B32" i="11"/>
  <c r="A32" i="11"/>
  <c r="B31" i="11"/>
  <c r="A31" i="11"/>
  <c r="B30" i="11"/>
  <c r="A30" i="11"/>
  <c r="B29" i="11"/>
  <c r="A29" i="11"/>
  <c r="B28" i="11"/>
  <c r="A28" i="11"/>
  <c r="B27" i="11"/>
  <c r="A27" i="11"/>
  <c r="B26" i="11"/>
  <c r="A26" i="11"/>
  <c r="B25" i="11"/>
  <c r="A25" i="11"/>
  <c r="B24" i="11"/>
  <c r="A24" i="11"/>
  <c r="B23" i="11"/>
  <c r="A23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10" i="11"/>
  <c r="A10" i="11"/>
  <c r="B9" i="11"/>
  <c r="A9" i="11"/>
  <c r="B8" i="11"/>
  <c r="A8" i="11"/>
  <c r="B7" i="11"/>
  <c r="A7" i="11"/>
  <c r="B6" i="11"/>
  <c r="A6" i="11"/>
  <c r="A5" i="11"/>
  <c r="A4" i="11"/>
  <c r="B19" i="10"/>
  <c r="B18" i="10"/>
  <c r="B17" i="10"/>
  <c r="B16" i="10"/>
  <c r="B15" i="10"/>
  <c r="F6" i="10"/>
  <c r="E6" i="10"/>
  <c r="D6" i="10"/>
  <c r="C6" i="10"/>
  <c r="B6" i="10"/>
  <c r="G29" i="9"/>
  <c r="F29" i="9"/>
  <c r="E29" i="9"/>
  <c r="D29" i="9"/>
  <c r="C29" i="9"/>
  <c r="B29" i="9"/>
  <c r="G28" i="9"/>
  <c r="B28" i="9"/>
  <c r="G27" i="9"/>
  <c r="B27" i="9"/>
  <c r="G26" i="9"/>
  <c r="B26" i="9"/>
  <c r="G20" i="9"/>
  <c r="F20" i="9"/>
  <c r="E20" i="9"/>
  <c r="D20" i="9"/>
  <c r="C20" i="9"/>
  <c r="B20" i="9"/>
  <c r="G19" i="9"/>
  <c r="B19" i="9"/>
  <c r="G18" i="9"/>
  <c r="B18" i="9"/>
  <c r="G17" i="9"/>
  <c r="B17" i="9"/>
  <c r="F11" i="9"/>
  <c r="E11" i="9"/>
  <c r="D11" i="9"/>
  <c r="C11" i="9"/>
  <c r="B10" i="9"/>
  <c r="G9" i="9"/>
  <c r="E9" i="9"/>
  <c r="D9" i="9"/>
  <c r="C9" i="9"/>
  <c r="B9" i="9"/>
  <c r="G8" i="9"/>
  <c r="B8" i="9"/>
  <c r="G7" i="9"/>
  <c r="B7" i="9"/>
  <c r="G6" i="9"/>
  <c r="B6" i="9"/>
  <c r="C22" i="8"/>
  <c r="F21" i="8"/>
  <c r="E21" i="8"/>
  <c r="D21" i="8"/>
  <c r="C21" i="8"/>
  <c r="F19" i="8"/>
  <c r="D19" i="8"/>
  <c r="D18" i="8"/>
  <c r="I17" i="8"/>
  <c r="E17" i="8"/>
  <c r="B17" i="8"/>
  <c r="I16" i="8"/>
  <c r="H16" i="8"/>
  <c r="E16" i="8"/>
  <c r="C16" i="8"/>
  <c r="B16" i="8"/>
  <c r="B15" i="8"/>
  <c r="B14" i="8"/>
  <c r="B13" i="8"/>
  <c r="B12" i="8"/>
  <c r="H11" i="8"/>
  <c r="G11" i="8"/>
  <c r="B11" i="8"/>
  <c r="H10" i="8"/>
  <c r="G10" i="8"/>
  <c r="B10" i="8"/>
  <c r="H9" i="8"/>
  <c r="G9" i="8"/>
  <c r="B9" i="8"/>
  <c r="F8" i="8"/>
  <c r="B8" i="8"/>
  <c r="H7" i="8"/>
  <c r="G7" i="8"/>
  <c r="B7" i="8"/>
  <c r="F6" i="8"/>
  <c r="D6" i="8"/>
  <c r="B6" i="8"/>
  <c r="H5" i="8"/>
  <c r="G5" i="8"/>
  <c r="B5" i="8"/>
  <c r="B4" i="8"/>
  <c r="D34" i="7"/>
  <c r="J33" i="7"/>
  <c r="G33" i="7"/>
  <c r="C33" i="7"/>
  <c r="B33" i="7"/>
  <c r="C32" i="7"/>
  <c r="B32" i="7"/>
  <c r="C31" i="7"/>
  <c r="B31" i="7"/>
  <c r="C30" i="7"/>
  <c r="B30" i="7"/>
  <c r="G29" i="7"/>
  <c r="C29" i="7"/>
  <c r="B29" i="7"/>
  <c r="C28" i="7"/>
  <c r="B28" i="7"/>
  <c r="D27" i="7"/>
  <c r="C27" i="7"/>
  <c r="B27" i="7"/>
  <c r="C24" i="7"/>
  <c r="C23" i="7"/>
  <c r="C22" i="7"/>
  <c r="D19" i="7"/>
  <c r="C19" i="7"/>
  <c r="B19" i="7"/>
  <c r="D16" i="7"/>
  <c r="D12" i="7"/>
  <c r="C12" i="7"/>
  <c r="B12" i="7"/>
  <c r="E9" i="7"/>
  <c r="D7" i="7"/>
  <c r="B7" i="7"/>
  <c r="H14" i="6"/>
  <c r="G14" i="6"/>
  <c r="F14" i="6"/>
  <c r="D14" i="6"/>
  <c r="D12" i="6"/>
  <c r="E134" i="5"/>
  <c r="D134" i="5"/>
  <c r="E133" i="5"/>
  <c r="D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2" i="5"/>
  <c r="D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2" i="5"/>
  <c r="D12" i="5"/>
  <c r="E11" i="5"/>
  <c r="E10" i="5"/>
  <c r="E9" i="5"/>
  <c r="E8" i="5"/>
  <c r="E7" i="5"/>
  <c r="E6" i="5"/>
  <c r="C54" i="3"/>
  <c r="C53" i="3"/>
  <c r="C51" i="3"/>
  <c r="C50" i="3"/>
  <c r="M48" i="3"/>
  <c r="C48" i="3"/>
  <c r="M47" i="3"/>
  <c r="C47" i="3"/>
  <c r="M46" i="3"/>
  <c r="C46" i="3"/>
  <c r="M45" i="3"/>
  <c r="C45" i="3"/>
  <c r="C43" i="3"/>
  <c r="D42" i="3"/>
  <c r="C42" i="3"/>
  <c r="C41" i="3"/>
  <c r="D39" i="3"/>
  <c r="M20" i="3"/>
  <c r="L20" i="3"/>
  <c r="K20" i="3"/>
  <c r="J20" i="3"/>
  <c r="I20" i="3"/>
  <c r="H20" i="3"/>
  <c r="G20" i="3"/>
  <c r="F20" i="3"/>
  <c r="E20" i="3"/>
  <c r="D20" i="3"/>
  <c r="L18" i="3"/>
  <c r="K18" i="3"/>
  <c r="J18" i="3"/>
  <c r="I18" i="3"/>
  <c r="H18" i="3"/>
  <c r="G18" i="3"/>
  <c r="F18" i="3"/>
  <c r="E18" i="3"/>
  <c r="O13" i="3"/>
  <c r="I463" i="2"/>
  <c r="B463" i="2"/>
  <c r="G462" i="2"/>
  <c r="F462" i="2"/>
  <c r="G461" i="2"/>
  <c r="F461" i="2"/>
  <c r="G460" i="2"/>
  <c r="F460" i="2"/>
  <c r="G459" i="2"/>
  <c r="F459" i="2"/>
  <c r="G458" i="2"/>
  <c r="F458" i="2"/>
  <c r="G457" i="2"/>
  <c r="F457" i="2"/>
  <c r="G456" i="2"/>
  <c r="F456" i="2"/>
  <c r="G455" i="2"/>
  <c r="F455" i="2"/>
  <c r="G454" i="2"/>
  <c r="F454" i="2"/>
  <c r="B454" i="2"/>
  <c r="G453" i="2"/>
  <c r="F453" i="2"/>
  <c r="C453" i="2"/>
  <c r="B453" i="2"/>
  <c r="G452" i="2"/>
  <c r="F452" i="2"/>
  <c r="C452" i="2"/>
  <c r="B452" i="2"/>
  <c r="G451" i="2"/>
  <c r="F451" i="2"/>
  <c r="C451" i="2"/>
  <c r="B451" i="2"/>
  <c r="G450" i="2"/>
  <c r="F450" i="2"/>
  <c r="C450" i="2"/>
  <c r="B450" i="2"/>
  <c r="G449" i="2"/>
  <c r="F449" i="2"/>
  <c r="C449" i="2"/>
  <c r="B449" i="2"/>
  <c r="G448" i="2"/>
  <c r="F448" i="2"/>
  <c r="C448" i="2"/>
  <c r="B448" i="2"/>
  <c r="I447" i="2"/>
  <c r="G447" i="2"/>
  <c r="F447" i="2"/>
  <c r="G446" i="2"/>
  <c r="F446" i="2"/>
  <c r="E446" i="2"/>
  <c r="D446" i="2"/>
  <c r="C446" i="2"/>
  <c r="H445" i="2"/>
  <c r="G445" i="2"/>
  <c r="F445" i="2"/>
  <c r="D445" i="2"/>
  <c r="C445" i="2"/>
  <c r="G444" i="2"/>
  <c r="C444" i="2"/>
  <c r="G443" i="2"/>
  <c r="C443" i="2"/>
  <c r="G442" i="2"/>
  <c r="C442" i="2"/>
  <c r="G441" i="2"/>
  <c r="F441" i="2"/>
  <c r="E441" i="2"/>
  <c r="D441" i="2"/>
  <c r="C441" i="2"/>
  <c r="G440" i="2"/>
  <c r="C440" i="2"/>
  <c r="B440" i="2"/>
  <c r="G439" i="2"/>
  <c r="F439" i="2"/>
  <c r="C439" i="2"/>
  <c r="B439" i="2"/>
  <c r="G438" i="2"/>
  <c r="F438" i="2"/>
  <c r="E438" i="2"/>
  <c r="D438" i="2"/>
  <c r="C438" i="2"/>
  <c r="G437" i="2"/>
  <c r="C437" i="2"/>
  <c r="B437" i="2"/>
  <c r="G436" i="2"/>
  <c r="F436" i="2"/>
  <c r="E436" i="2"/>
  <c r="D436" i="2"/>
  <c r="C436" i="2"/>
  <c r="G435" i="2"/>
  <c r="F435" i="2"/>
  <c r="C435" i="2"/>
  <c r="G434" i="2"/>
  <c r="F434" i="2"/>
  <c r="C434" i="2"/>
  <c r="G433" i="2"/>
  <c r="F433" i="2"/>
  <c r="C433" i="2"/>
  <c r="G432" i="2"/>
  <c r="F432" i="2"/>
  <c r="C432" i="2"/>
  <c r="G431" i="2"/>
  <c r="F431" i="2"/>
  <c r="C431" i="2"/>
  <c r="G430" i="2"/>
  <c r="F430" i="2"/>
  <c r="G429" i="2"/>
  <c r="F429" i="2"/>
  <c r="G428" i="2"/>
  <c r="F428" i="2"/>
  <c r="G427" i="2"/>
  <c r="F427" i="2"/>
  <c r="G426" i="2"/>
  <c r="F426" i="2"/>
  <c r="E426" i="2"/>
  <c r="D426" i="2"/>
  <c r="C426" i="2"/>
  <c r="H425" i="2"/>
  <c r="G425" i="2"/>
  <c r="F425" i="2"/>
  <c r="E425" i="2"/>
  <c r="D425" i="2"/>
  <c r="C425" i="2"/>
  <c r="G423" i="2"/>
  <c r="F423" i="2"/>
  <c r="C423" i="2"/>
  <c r="B423" i="2"/>
  <c r="G422" i="2"/>
  <c r="F422" i="2"/>
  <c r="C422" i="2"/>
  <c r="B422" i="2"/>
  <c r="G421" i="2"/>
  <c r="F421" i="2"/>
  <c r="C421" i="2"/>
  <c r="B421" i="2"/>
  <c r="G420" i="2"/>
  <c r="F420" i="2"/>
  <c r="C420" i="2"/>
  <c r="B420" i="2"/>
  <c r="G419" i="2"/>
  <c r="F419" i="2"/>
  <c r="C419" i="2"/>
  <c r="B419" i="2"/>
  <c r="G418" i="2"/>
  <c r="F418" i="2"/>
  <c r="C418" i="2"/>
  <c r="B418" i="2"/>
  <c r="G417" i="2"/>
  <c r="F417" i="2"/>
  <c r="C417" i="2"/>
  <c r="B417" i="2"/>
  <c r="G416" i="2"/>
  <c r="F416" i="2"/>
  <c r="C416" i="2"/>
  <c r="B416" i="2"/>
  <c r="G415" i="2"/>
  <c r="F415" i="2"/>
  <c r="C415" i="2"/>
  <c r="B415" i="2"/>
  <c r="G414" i="2"/>
  <c r="F414" i="2"/>
  <c r="C414" i="2"/>
  <c r="B414" i="2"/>
  <c r="G413" i="2"/>
  <c r="F413" i="2"/>
  <c r="C413" i="2"/>
  <c r="B413" i="2"/>
  <c r="G412" i="2"/>
  <c r="F412" i="2"/>
  <c r="C412" i="2"/>
  <c r="B412" i="2"/>
  <c r="G411" i="2"/>
  <c r="F411" i="2"/>
  <c r="C411" i="2"/>
  <c r="B411" i="2"/>
  <c r="G410" i="2"/>
  <c r="F410" i="2"/>
  <c r="C410" i="2"/>
  <c r="B410" i="2"/>
  <c r="G409" i="2"/>
  <c r="F409" i="2"/>
  <c r="C409" i="2"/>
  <c r="B409" i="2"/>
  <c r="G408" i="2"/>
  <c r="F408" i="2"/>
  <c r="C408" i="2"/>
  <c r="B408" i="2"/>
  <c r="G407" i="2"/>
  <c r="F407" i="2"/>
  <c r="C407" i="2"/>
  <c r="B407" i="2"/>
  <c r="G406" i="2"/>
  <c r="F406" i="2"/>
  <c r="C406" i="2"/>
  <c r="B406" i="2"/>
  <c r="G405" i="2"/>
  <c r="F405" i="2"/>
  <c r="C405" i="2"/>
  <c r="B405" i="2"/>
  <c r="G404" i="2"/>
  <c r="F404" i="2"/>
  <c r="C404" i="2"/>
  <c r="B404" i="2"/>
  <c r="G403" i="2"/>
  <c r="F403" i="2"/>
  <c r="C403" i="2"/>
  <c r="B403" i="2"/>
  <c r="G402" i="2"/>
  <c r="F402" i="2"/>
  <c r="C402" i="2"/>
  <c r="B402" i="2"/>
  <c r="G401" i="2"/>
  <c r="F401" i="2"/>
  <c r="C401" i="2"/>
  <c r="B401" i="2"/>
  <c r="G400" i="2"/>
  <c r="F400" i="2"/>
  <c r="C400" i="2"/>
  <c r="B400" i="2"/>
  <c r="G399" i="2"/>
  <c r="F399" i="2"/>
  <c r="C399" i="2"/>
  <c r="B399" i="2"/>
  <c r="G398" i="2"/>
  <c r="F398" i="2"/>
  <c r="C398" i="2"/>
  <c r="B398" i="2"/>
  <c r="G397" i="2"/>
  <c r="F397" i="2"/>
  <c r="C397" i="2"/>
  <c r="B397" i="2"/>
  <c r="G396" i="2"/>
  <c r="F396" i="2"/>
  <c r="C396" i="2"/>
  <c r="B396" i="2"/>
  <c r="G395" i="2"/>
  <c r="F395" i="2"/>
  <c r="C395" i="2"/>
  <c r="B395" i="2"/>
  <c r="G394" i="2"/>
  <c r="F394" i="2"/>
  <c r="C394" i="2"/>
  <c r="B394" i="2"/>
  <c r="G393" i="2"/>
  <c r="F393" i="2"/>
  <c r="C393" i="2"/>
  <c r="B393" i="2"/>
  <c r="G392" i="2"/>
  <c r="F392" i="2"/>
  <c r="C392" i="2"/>
  <c r="B392" i="2"/>
  <c r="G391" i="2"/>
  <c r="F391" i="2"/>
  <c r="C391" i="2"/>
  <c r="B391" i="2"/>
  <c r="G390" i="2"/>
  <c r="F390" i="2"/>
  <c r="C390" i="2"/>
  <c r="B390" i="2"/>
  <c r="G389" i="2"/>
  <c r="F389" i="2"/>
  <c r="C389" i="2"/>
  <c r="B389" i="2"/>
  <c r="G388" i="2"/>
  <c r="F388" i="2"/>
  <c r="C388" i="2"/>
  <c r="B388" i="2"/>
  <c r="G387" i="2"/>
  <c r="F387" i="2"/>
  <c r="C387" i="2"/>
  <c r="B387" i="2"/>
  <c r="G386" i="2"/>
  <c r="F386" i="2"/>
  <c r="C386" i="2"/>
  <c r="B386" i="2"/>
  <c r="G385" i="2"/>
  <c r="F385" i="2"/>
  <c r="C385" i="2"/>
  <c r="B385" i="2"/>
  <c r="G384" i="2"/>
  <c r="F384" i="2"/>
  <c r="C384" i="2"/>
  <c r="B384" i="2"/>
  <c r="G383" i="2"/>
  <c r="F383" i="2"/>
  <c r="C383" i="2"/>
  <c r="B383" i="2"/>
  <c r="G382" i="2"/>
  <c r="F382" i="2"/>
  <c r="C382" i="2"/>
  <c r="B382" i="2"/>
  <c r="G381" i="2"/>
  <c r="F381" i="2"/>
  <c r="C381" i="2"/>
  <c r="B381" i="2"/>
  <c r="G380" i="2"/>
  <c r="F380" i="2"/>
  <c r="C380" i="2"/>
  <c r="B380" i="2"/>
  <c r="G379" i="2"/>
  <c r="F379" i="2"/>
  <c r="C379" i="2"/>
  <c r="B379" i="2"/>
  <c r="G378" i="2"/>
  <c r="F378" i="2"/>
  <c r="C378" i="2"/>
  <c r="B378" i="2"/>
  <c r="G377" i="2"/>
  <c r="F377" i="2"/>
  <c r="C377" i="2"/>
  <c r="B377" i="2"/>
  <c r="G376" i="2"/>
  <c r="F376" i="2"/>
  <c r="C376" i="2"/>
  <c r="B376" i="2"/>
  <c r="G375" i="2"/>
  <c r="F375" i="2"/>
  <c r="C375" i="2"/>
  <c r="B375" i="2"/>
  <c r="G374" i="2"/>
  <c r="F374" i="2"/>
  <c r="C374" i="2"/>
  <c r="B374" i="2"/>
  <c r="G373" i="2"/>
  <c r="F373" i="2"/>
  <c r="C373" i="2"/>
  <c r="B373" i="2"/>
  <c r="G372" i="2"/>
  <c r="F372" i="2"/>
  <c r="C372" i="2"/>
  <c r="B372" i="2"/>
  <c r="G371" i="2"/>
  <c r="F371" i="2"/>
  <c r="C371" i="2"/>
  <c r="B371" i="2"/>
  <c r="G370" i="2"/>
  <c r="F370" i="2"/>
  <c r="C370" i="2"/>
  <c r="B370" i="2"/>
  <c r="G369" i="2"/>
  <c r="F369" i="2"/>
  <c r="C369" i="2"/>
  <c r="B369" i="2"/>
  <c r="G368" i="2"/>
  <c r="F368" i="2"/>
  <c r="C368" i="2"/>
  <c r="B368" i="2"/>
  <c r="G367" i="2"/>
  <c r="F367" i="2"/>
  <c r="C367" i="2"/>
  <c r="B367" i="2"/>
  <c r="I366" i="2"/>
  <c r="G366" i="2"/>
  <c r="F366" i="2"/>
  <c r="C366" i="2"/>
  <c r="B366" i="2"/>
  <c r="I365" i="2"/>
  <c r="G365" i="2"/>
  <c r="F365" i="2"/>
  <c r="C365" i="2"/>
  <c r="B365" i="2"/>
  <c r="I364" i="2"/>
  <c r="H364" i="2"/>
  <c r="G364" i="2"/>
  <c r="F364" i="2"/>
  <c r="E364" i="2"/>
  <c r="D364" i="2"/>
  <c r="C364" i="2"/>
  <c r="H363" i="2"/>
  <c r="G363" i="2"/>
  <c r="C363" i="2"/>
  <c r="G362" i="2"/>
  <c r="F362" i="2"/>
  <c r="E362" i="2"/>
  <c r="D362" i="2"/>
  <c r="C362" i="2"/>
  <c r="H361" i="2"/>
  <c r="G361" i="2"/>
  <c r="F361" i="2"/>
  <c r="D361" i="2"/>
  <c r="C361" i="2"/>
  <c r="G360" i="2"/>
  <c r="C360" i="2"/>
  <c r="G359" i="2"/>
  <c r="C359" i="2"/>
  <c r="G358" i="2"/>
  <c r="C358" i="2"/>
  <c r="H357" i="2"/>
  <c r="G357" i="2"/>
  <c r="F357" i="2"/>
  <c r="E357" i="2"/>
  <c r="D357" i="2"/>
  <c r="C357" i="2"/>
  <c r="G356" i="2"/>
  <c r="C356" i="2"/>
  <c r="G355" i="2"/>
  <c r="F355" i="2"/>
  <c r="G354" i="2"/>
  <c r="F354" i="2"/>
  <c r="C354" i="2"/>
  <c r="B354" i="2"/>
  <c r="H353" i="2"/>
  <c r="G353" i="2"/>
  <c r="F353" i="2"/>
  <c r="E353" i="2"/>
  <c r="D353" i="2"/>
  <c r="C353" i="2"/>
  <c r="G352" i="2"/>
  <c r="C352" i="2"/>
  <c r="G351" i="2"/>
  <c r="F351" i="2"/>
  <c r="C351" i="2"/>
  <c r="G350" i="2"/>
  <c r="F350" i="2"/>
  <c r="G349" i="2"/>
  <c r="F349" i="2"/>
  <c r="C349" i="2"/>
  <c r="G348" i="2"/>
  <c r="F348" i="2"/>
  <c r="G347" i="2"/>
  <c r="F347" i="2"/>
  <c r="C347" i="2"/>
  <c r="G346" i="2"/>
  <c r="F346" i="2"/>
  <c r="C346" i="2"/>
  <c r="B346" i="2"/>
  <c r="H345" i="2"/>
  <c r="G345" i="2"/>
  <c r="F345" i="2"/>
  <c r="E345" i="2"/>
  <c r="D345" i="2"/>
  <c r="C345" i="2"/>
  <c r="G344" i="2"/>
  <c r="F344" i="2"/>
  <c r="C344" i="2"/>
  <c r="I343" i="2"/>
  <c r="G343" i="2"/>
  <c r="F343" i="2"/>
  <c r="C343" i="2"/>
  <c r="G342" i="2"/>
  <c r="F342" i="2"/>
  <c r="C342" i="2"/>
  <c r="G341" i="2"/>
  <c r="F341" i="2"/>
  <c r="C341" i="2"/>
  <c r="G340" i="2"/>
  <c r="F340" i="2"/>
  <c r="C340" i="2"/>
  <c r="G339" i="2"/>
  <c r="F339" i="2"/>
  <c r="G338" i="2"/>
  <c r="F338" i="2"/>
  <c r="G337" i="2"/>
  <c r="F337" i="2"/>
  <c r="G336" i="2"/>
  <c r="F336" i="2"/>
  <c r="G335" i="2"/>
  <c r="F335" i="2"/>
  <c r="C335" i="2"/>
  <c r="J334" i="2"/>
  <c r="I334" i="2"/>
  <c r="H334" i="2"/>
  <c r="G334" i="2"/>
  <c r="F334" i="2"/>
  <c r="E334" i="2"/>
  <c r="D334" i="2"/>
  <c r="C334" i="2"/>
  <c r="G332" i="2"/>
  <c r="C332" i="2"/>
  <c r="B332" i="2"/>
  <c r="G331" i="2"/>
  <c r="F331" i="2"/>
  <c r="C331" i="2"/>
  <c r="B331" i="2"/>
  <c r="G330" i="2"/>
  <c r="F330" i="2"/>
  <c r="C330" i="2"/>
  <c r="B330" i="2"/>
  <c r="G329" i="2"/>
  <c r="F329" i="2"/>
  <c r="C329" i="2"/>
  <c r="B329" i="2"/>
  <c r="G328" i="2"/>
  <c r="F328" i="2"/>
  <c r="C328" i="2"/>
  <c r="B328" i="2"/>
  <c r="G327" i="2"/>
  <c r="F327" i="2"/>
  <c r="C327" i="2"/>
  <c r="B327" i="2"/>
  <c r="G326" i="2"/>
  <c r="F326" i="2"/>
  <c r="C326" i="2"/>
  <c r="B326" i="2"/>
  <c r="G325" i="2"/>
  <c r="F325" i="2"/>
  <c r="C325" i="2"/>
  <c r="B325" i="2"/>
  <c r="G324" i="2"/>
  <c r="F324" i="2"/>
  <c r="C324" i="2"/>
  <c r="B324" i="2"/>
  <c r="G323" i="2"/>
  <c r="F323" i="2"/>
  <c r="C323" i="2"/>
  <c r="B323" i="2"/>
  <c r="G322" i="2"/>
  <c r="F322" i="2"/>
  <c r="C322" i="2"/>
  <c r="B322" i="2"/>
  <c r="G321" i="2"/>
  <c r="F321" i="2"/>
  <c r="C321" i="2"/>
  <c r="B321" i="2"/>
  <c r="G320" i="2"/>
  <c r="F320" i="2"/>
  <c r="C320" i="2"/>
  <c r="B320" i="2"/>
  <c r="G319" i="2"/>
  <c r="F319" i="2"/>
  <c r="C319" i="2"/>
  <c r="B319" i="2"/>
  <c r="G318" i="2"/>
  <c r="F318" i="2"/>
  <c r="C318" i="2"/>
  <c r="B318" i="2"/>
  <c r="G317" i="2"/>
  <c r="F317" i="2"/>
  <c r="C317" i="2"/>
  <c r="B317" i="2"/>
  <c r="G316" i="2"/>
  <c r="F316" i="2"/>
  <c r="C316" i="2"/>
  <c r="B316" i="2"/>
  <c r="G315" i="2"/>
  <c r="F315" i="2"/>
  <c r="C315" i="2"/>
  <c r="B315" i="2"/>
  <c r="G314" i="2"/>
  <c r="F314" i="2"/>
  <c r="C314" i="2"/>
  <c r="B314" i="2"/>
  <c r="G313" i="2"/>
  <c r="F313" i="2"/>
  <c r="C313" i="2"/>
  <c r="B313" i="2"/>
  <c r="G312" i="2"/>
  <c r="F312" i="2"/>
  <c r="C312" i="2"/>
  <c r="B312" i="2"/>
  <c r="G311" i="2"/>
  <c r="F311" i="2"/>
  <c r="C311" i="2"/>
  <c r="B311" i="2"/>
  <c r="G310" i="2"/>
  <c r="F310" i="2"/>
  <c r="C310" i="2"/>
  <c r="B310" i="2"/>
  <c r="G309" i="2"/>
  <c r="F309" i="2"/>
  <c r="C309" i="2"/>
  <c r="B309" i="2"/>
  <c r="G308" i="2"/>
  <c r="F308" i="2"/>
  <c r="C308" i="2"/>
  <c r="B308" i="2"/>
  <c r="G307" i="2"/>
  <c r="F307" i="2"/>
  <c r="C307" i="2"/>
  <c r="B307" i="2"/>
  <c r="G306" i="2"/>
  <c r="F306" i="2"/>
  <c r="C306" i="2"/>
  <c r="B306" i="2"/>
  <c r="G305" i="2"/>
  <c r="F305" i="2"/>
  <c r="C305" i="2"/>
  <c r="B305" i="2"/>
  <c r="G304" i="2"/>
  <c r="F304" i="2"/>
  <c r="C304" i="2"/>
  <c r="B304" i="2"/>
  <c r="G303" i="2"/>
  <c r="F303" i="2"/>
  <c r="C303" i="2"/>
  <c r="B303" i="2"/>
  <c r="G302" i="2"/>
  <c r="F302" i="2"/>
  <c r="C302" i="2"/>
  <c r="B302" i="2"/>
  <c r="G301" i="2"/>
  <c r="F301" i="2"/>
  <c r="C301" i="2"/>
  <c r="B301" i="2"/>
  <c r="G300" i="2"/>
  <c r="F300" i="2"/>
  <c r="C300" i="2"/>
  <c r="B300" i="2"/>
  <c r="G299" i="2"/>
  <c r="F299" i="2"/>
  <c r="C299" i="2"/>
  <c r="B299" i="2"/>
  <c r="G298" i="2"/>
  <c r="F298" i="2"/>
  <c r="C298" i="2"/>
  <c r="B298" i="2"/>
  <c r="G297" i="2"/>
  <c r="F297" i="2"/>
  <c r="C297" i="2"/>
  <c r="B297" i="2"/>
  <c r="G296" i="2"/>
  <c r="F296" i="2"/>
  <c r="C296" i="2"/>
  <c r="B296" i="2"/>
  <c r="G295" i="2"/>
  <c r="F295" i="2"/>
  <c r="C295" i="2"/>
  <c r="B295" i="2"/>
  <c r="G294" i="2"/>
  <c r="F294" i="2"/>
  <c r="C294" i="2"/>
  <c r="B294" i="2"/>
  <c r="G293" i="2"/>
  <c r="F293" i="2"/>
  <c r="C293" i="2"/>
  <c r="B293" i="2"/>
  <c r="G292" i="2"/>
  <c r="F292" i="2"/>
  <c r="C292" i="2"/>
  <c r="B292" i="2"/>
  <c r="G291" i="2"/>
  <c r="F291" i="2"/>
  <c r="B291" i="2"/>
  <c r="G290" i="2"/>
  <c r="F290" i="2"/>
  <c r="C290" i="2"/>
  <c r="B290" i="2"/>
  <c r="G289" i="2"/>
  <c r="F289" i="2"/>
  <c r="C289" i="2"/>
  <c r="B289" i="2"/>
  <c r="G288" i="2"/>
  <c r="F288" i="2"/>
  <c r="C288" i="2"/>
  <c r="B288" i="2"/>
  <c r="G287" i="2"/>
  <c r="F287" i="2"/>
  <c r="C287" i="2"/>
  <c r="B287" i="2"/>
  <c r="G286" i="2"/>
  <c r="F286" i="2"/>
  <c r="B286" i="2"/>
  <c r="G285" i="2"/>
  <c r="F285" i="2"/>
  <c r="C285" i="2"/>
  <c r="B285" i="2"/>
  <c r="G284" i="2"/>
  <c r="F284" i="2"/>
  <c r="C284" i="2"/>
  <c r="B284" i="2"/>
  <c r="G283" i="2"/>
  <c r="F283" i="2"/>
  <c r="C283" i="2"/>
  <c r="B283" i="2"/>
  <c r="G282" i="2"/>
  <c r="F282" i="2"/>
  <c r="C282" i="2"/>
  <c r="B282" i="2"/>
  <c r="K281" i="2"/>
  <c r="J281" i="2"/>
  <c r="G281" i="2"/>
  <c r="F281" i="2"/>
  <c r="C281" i="2"/>
  <c r="B281" i="2"/>
  <c r="L280" i="2"/>
  <c r="G280" i="2"/>
  <c r="F280" i="2"/>
  <c r="C280" i="2"/>
  <c r="B280" i="2"/>
  <c r="G279" i="2"/>
  <c r="F279" i="2"/>
  <c r="C279" i="2"/>
  <c r="B279" i="2"/>
  <c r="G278" i="2"/>
  <c r="F278" i="2"/>
  <c r="C278" i="2"/>
  <c r="B278" i="2"/>
  <c r="L277" i="2"/>
  <c r="G277" i="2"/>
  <c r="F277" i="2"/>
  <c r="C277" i="2"/>
  <c r="B277" i="2"/>
  <c r="G276" i="2"/>
  <c r="F276" i="2"/>
  <c r="C276" i="2"/>
  <c r="B276" i="2"/>
  <c r="L275" i="2"/>
  <c r="G275" i="2"/>
  <c r="F275" i="2"/>
  <c r="C275" i="2"/>
  <c r="B275" i="2"/>
  <c r="L274" i="2"/>
  <c r="G274" i="2"/>
  <c r="F274" i="2"/>
  <c r="C274" i="2"/>
  <c r="B274" i="2"/>
  <c r="L273" i="2"/>
  <c r="G273" i="2"/>
  <c r="F273" i="2"/>
  <c r="C273" i="2"/>
  <c r="B273" i="2"/>
  <c r="G272" i="2"/>
  <c r="F272" i="2"/>
  <c r="C272" i="2"/>
  <c r="B272" i="2"/>
  <c r="L271" i="2"/>
  <c r="G271" i="2"/>
  <c r="F271" i="2"/>
  <c r="C271" i="2"/>
  <c r="B271" i="2"/>
  <c r="L270" i="2"/>
  <c r="G270" i="2"/>
  <c r="F270" i="2"/>
  <c r="C270" i="2"/>
  <c r="B270" i="2"/>
  <c r="G269" i="2"/>
  <c r="F269" i="2"/>
  <c r="B269" i="2"/>
  <c r="G268" i="2"/>
  <c r="F268" i="2"/>
  <c r="C268" i="2"/>
  <c r="B268" i="2"/>
  <c r="L267" i="2"/>
  <c r="I267" i="2"/>
  <c r="G267" i="2"/>
  <c r="F267" i="2"/>
  <c r="C267" i="2"/>
  <c r="B267" i="2"/>
  <c r="J266" i="2"/>
  <c r="G266" i="2"/>
  <c r="F266" i="2"/>
  <c r="C266" i="2"/>
  <c r="B266" i="2"/>
  <c r="I265" i="2"/>
  <c r="H265" i="2"/>
  <c r="G265" i="2"/>
  <c r="F265" i="2"/>
  <c r="E265" i="2"/>
  <c r="D265" i="2"/>
  <c r="C265" i="2"/>
  <c r="C264" i="2"/>
  <c r="B264" i="2"/>
  <c r="G263" i="2"/>
  <c r="F263" i="2"/>
  <c r="E263" i="2"/>
  <c r="D263" i="2"/>
  <c r="C263" i="2"/>
  <c r="B263" i="2"/>
  <c r="C262" i="2"/>
  <c r="G261" i="2"/>
  <c r="F261" i="2"/>
  <c r="E261" i="2"/>
  <c r="D261" i="2"/>
  <c r="C261" i="2"/>
  <c r="H260" i="2"/>
  <c r="G260" i="2"/>
  <c r="F260" i="2"/>
  <c r="D260" i="2"/>
  <c r="C260" i="2"/>
  <c r="G259" i="2"/>
  <c r="C259" i="2"/>
  <c r="G258" i="2"/>
  <c r="C258" i="2"/>
  <c r="G257" i="2"/>
  <c r="C257" i="2"/>
  <c r="H256" i="2"/>
  <c r="G256" i="2"/>
  <c r="F256" i="2"/>
  <c r="E256" i="2"/>
  <c r="D256" i="2"/>
  <c r="C256" i="2"/>
  <c r="G255" i="2"/>
  <c r="G254" i="2"/>
  <c r="F254" i="2"/>
  <c r="G253" i="2"/>
  <c r="F253" i="2"/>
  <c r="G252" i="2"/>
  <c r="F252" i="2"/>
  <c r="G251" i="2"/>
  <c r="F251" i="2"/>
  <c r="G250" i="2"/>
  <c r="F250" i="2"/>
  <c r="C250" i="2"/>
  <c r="G249" i="2"/>
  <c r="F249" i="2"/>
  <c r="B249" i="2"/>
  <c r="J248" i="2"/>
  <c r="G248" i="2"/>
  <c r="F248" i="2"/>
  <c r="B248" i="2"/>
  <c r="H247" i="2"/>
  <c r="G247" i="2"/>
  <c r="F247" i="2"/>
  <c r="E247" i="2"/>
  <c r="D247" i="2"/>
  <c r="C247" i="2"/>
  <c r="J246" i="2"/>
  <c r="G246" i="2"/>
  <c r="C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9" i="2"/>
  <c r="F239" i="2"/>
  <c r="C239" i="2"/>
  <c r="G238" i="2"/>
  <c r="F238" i="2"/>
  <c r="C238" i="2"/>
  <c r="G237" i="2"/>
  <c r="F237" i="2"/>
  <c r="G236" i="2"/>
  <c r="F236" i="2"/>
  <c r="J235" i="2"/>
  <c r="G235" i="2"/>
  <c r="F235" i="2"/>
  <c r="G234" i="2"/>
  <c r="F234" i="2"/>
  <c r="C234" i="2"/>
  <c r="B234" i="2"/>
  <c r="G233" i="2"/>
  <c r="F233" i="2"/>
  <c r="C233" i="2"/>
  <c r="B233" i="2"/>
  <c r="J232" i="2"/>
  <c r="I232" i="2"/>
  <c r="H232" i="2"/>
  <c r="G232" i="2"/>
  <c r="F232" i="2"/>
  <c r="E232" i="2"/>
  <c r="D232" i="2"/>
  <c r="C232" i="2"/>
  <c r="G231" i="2"/>
  <c r="F231" i="2"/>
  <c r="C231" i="2"/>
  <c r="B231" i="2"/>
  <c r="C230" i="2"/>
  <c r="G229" i="2"/>
  <c r="F229" i="2"/>
  <c r="C229" i="2"/>
  <c r="G228" i="2"/>
  <c r="C228" i="2"/>
  <c r="B228" i="2"/>
  <c r="G227" i="2"/>
  <c r="F227" i="2"/>
  <c r="C227" i="2"/>
  <c r="G226" i="2"/>
  <c r="F226" i="2"/>
  <c r="C226" i="2"/>
  <c r="G225" i="2"/>
  <c r="F225" i="2"/>
  <c r="C225" i="2"/>
  <c r="G224" i="2"/>
  <c r="F224" i="2"/>
  <c r="C224" i="2"/>
  <c r="G223" i="2"/>
  <c r="F223" i="2"/>
  <c r="C223" i="2"/>
  <c r="I222" i="2"/>
  <c r="G222" i="2"/>
  <c r="F222" i="2"/>
  <c r="G221" i="2"/>
  <c r="F221" i="2"/>
  <c r="G220" i="2"/>
  <c r="F220" i="2"/>
  <c r="C220" i="2"/>
  <c r="G219" i="2"/>
  <c r="F219" i="2"/>
  <c r="G218" i="2"/>
  <c r="F218" i="2"/>
  <c r="C218" i="2"/>
  <c r="I217" i="2"/>
  <c r="H217" i="2"/>
  <c r="G217" i="2"/>
  <c r="F217" i="2"/>
  <c r="E217" i="2"/>
  <c r="D217" i="2"/>
  <c r="C217" i="2"/>
  <c r="I216" i="2"/>
  <c r="G215" i="2"/>
  <c r="F215" i="2"/>
  <c r="C215" i="2"/>
  <c r="B215" i="2"/>
  <c r="G214" i="2"/>
  <c r="F214" i="2"/>
  <c r="C214" i="2"/>
  <c r="B214" i="2"/>
  <c r="G213" i="2"/>
  <c r="F213" i="2"/>
  <c r="C213" i="2"/>
  <c r="G212" i="2"/>
  <c r="F212" i="2"/>
  <c r="C212" i="2"/>
  <c r="B212" i="2"/>
  <c r="G211" i="2"/>
  <c r="F211" i="2"/>
  <c r="C211" i="2"/>
  <c r="B211" i="2"/>
  <c r="G210" i="2"/>
  <c r="F210" i="2"/>
  <c r="C210" i="2"/>
  <c r="B210" i="2"/>
  <c r="G209" i="2"/>
  <c r="F209" i="2"/>
  <c r="C209" i="2"/>
  <c r="B209" i="2"/>
  <c r="G208" i="2"/>
  <c r="F208" i="2"/>
  <c r="C208" i="2"/>
  <c r="B208" i="2"/>
  <c r="G207" i="2"/>
  <c r="F207" i="2"/>
  <c r="C207" i="2"/>
  <c r="G206" i="2"/>
  <c r="F206" i="2"/>
  <c r="C206" i="2"/>
  <c r="G205" i="2"/>
  <c r="F205" i="2"/>
  <c r="C205" i="2"/>
  <c r="G204" i="2"/>
  <c r="F204" i="2"/>
  <c r="C204" i="2"/>
  <c r="G203" i="2"/>
  <c r="F203" i="2"/>
  <c r="C203" i="2"/>
  <c r="K202" i="2"/>
  <c r="J202" i="2"/>
  <c r="G202" i="2"/>
  <c r="F202" i="2"/>
  <c r="C202" i="2"/>
  <c r="K201" i="2"/>
  <c r="J201" i="2"/>
  <c r="I201" i="2"/>
  <c r="G201" i="2"/>
  <c r="F201" i="2"/>
  <c r="C201" i="2"/>
  <c r="G200" i="2"/>
  <c r="F200" i="2"/>
  <c r="C200" i="2"/>
  <c r="J199" i="2"/>
  <c r="H199" i="2"/>
  <c r="G199" i="2"/>
  <c r="F199" i="2"/>
  <c r="E199" i="2"/>
  <c r="D199" i="2"/>
  <c r="C199" i="2"/>
  <c r="G198" i="2"/>
  <c r="F198" i="2"/>
  <c r="D198" i="2"/>
  <c r="C198" i="2"/>
  <c r="H197" i="2"/>
  <c r="G197" i="2"/>
  <c r="F197" i="2"/>
  <c r="E197" i="2"/>
  <c r="D197" i="2"/>
  <c r="C197" i="2"/>
  <c r="G196" i="2"/>
  <c r="F196" i="2"/>
  <c r="D196" i="2"/>
  <c r="C196" i="2"/>
  <c r="G195" i="2"/>
  <c r="F195" i="2"/>
  <c r="D195" i="2"/>
  <c r="C195" i="2"/>
  <c r="G194" i="2"/>
  <c r="C194" i="2"/>
  <c r="B194" i="2"/>
  <c r="G193" i="2"/>
  <c r="C193" i="2"/>
  <c r="B193" i="2"/>
  <c r="L192" i="2"/>
  <c r="G192" i="2"/>
  <c r="C192" i="2"/>
  <c r="B192" i="2"/>
  <c r="J191" i="2"/>
  <c r="H191" i="2"/>
  <c r="G191" i="2"/>
  <c r="F191" i="2"/>
  <c r="E191" i="2"/>
  <c r="D191" i="2"/>
  <c r="C191" i="2"/>
  <c r="J190" i="2"/>
  <c r="B188" i="2"/>
  <c r="H187" i="2"/>
  <c r="B187" i="2"/>
  <c r="H186" i="2"/>
  <c r="B186" i="2"/>
  <c r="L185" i="2"/>
  <c r="K185" i="2"/>
  <c r="B185" i="2"/>
  <c r="I184" i="2"/>
  <c r="B184" i="2"/>
  <c r="I183" i="2"/>
  <c r="H183" i="2"/>
  <c r="G183" i="2"/>
  <c r="F183" i="2"/>
  <c r="E183" i="2"/>
  <c r="D183" i="2"/>
  <c r="C183" i="2"/>
  <c r="I181" i="2"/>
  <c r="B180" i="2"/>
  <c r="B179" i="2"/>
  <c r="B178" i="2"/>
  <c r="B177" i="2"/>
  <c r="B176" i="2"/>
  <c r="B175" i="2"/>
  <c r="B174" i="2"/>
  <c r="B173" i="2"/>
  <c r="B172" i="2"/>
  <c r="B171" i="2"/>
  <c r="B170" i="2"/>
  <c r="B163" i="2"/>
  <c r="B157" i="2"/>
  <c r="B156" i="2"/>
  <c r="B154" i="2"/>
  <c r="B153" i="2"/>
  <c r="K152" i="2"/>
  <c r="K151" i="2"/>
  <c r="L150" i="2"/>
  <c r="K149" i="2"/>
  <c r="H149" i="2"/>
  <c r="G149" i="2"/>
  <c r="F149" i="2"/>
  <c r="E149" i="2"/>
  <c r="D149" i="2"/>
  <c r="C149" i="2"/>
  <c r="B148" i="2"/>
  <c r="I140" i="2"/>
  <c r="I138" i="2"/>
  <c r="I137" i="2"/>
  <c r="H137" i="2"/>
  <c r="H136" i="2"/>
  <c r="O135" i="2"/>
  <c r="I135" i="2"/>
  <c r="H135" i="2"/>
  <c r="G135" i="2"/>
  <c r="F135" i="2"/>
  <c r="E135" i="2"/>
  <c r="D135" i="2"/>
  <c r="C135" i="2"/>
  <c r="O134" i="2"/>
  <c r="G133" i="2"/>
  <c r="F133" i="2"/>
  <c r="C133" i="2"/>
  <c r="B133" i="2"/>
  <c r="G132" i="2"/>
  <c r="F132" i="2"/>
  <c r="C132" i="2"/>
  <c r="B132" i="2"/>
  <c r="G131" i="2"/>
  <c r="F131" i="2"/>
  <c r="C131" i="2"/>
  <c r="B131" i="2"/>
  <c r="G130" i="2"/>
  <c r="F130" i="2"/>
  <c r="C130" i="2"/>
  <c r="G129" i="2"/>
  <c r="F129" i="2"/>
  <c r="C129" i="2"/>
  <c r="H128" i="2"/>
  <c r="G128" i="2"/>
  <c r="F128" i="2"/>
  <c r="E128" i="2"/>
  <c r="D128" i="2"/>
  <c r="C128" i="2"/>
  <c r="H126" i="2"/>
  <c r="G126" i="2"/>
  <c r="F126" i="2"/>
  <c r="D126" i="2"/>
  <c r="C126" i="2"/>
  <c r="H118" i="2"/>
  <c r="G118" i="2"/>
  <c r="F118" i="2"/>
  <c r="E118" i="2"/>
  <c r="D118" i="2"/>
  <c r="C118" i="2"/>
  <c r="H117" i="2"/>
  <c r="F117" i="2"/>
  <c r="D117" i="2"/>
  <c r="C117" i="2"/>
  <c r="B114" i="2"/>
  <c r="B107" i="2"/>
  <c r="C90" i="2"/>
  <c r="C89" i="2"/>
  <c r="H88" i="2"/>
  <c r="G88" i="2"/>
  <c r="F88" i="2"/>
  <c r="E88" i="2"/>
  <c r="D88" i="2"/>
  <c r="C88" i="2"/>
  <c r="I83" i="2"/>
  <c r="H82" i="2"/>
  <c r="G82" i="2"/>
  <c r="F82" i="2"/>
  <c r="E82" i="2"/>
  <c r="D82" i="2"/>
  <c r="C82" i="2"/>
  <c r="B77" i="2"/>
  <c r="B76" i="2"/>
  <c r="B75" i="2"/>
  <c r="B74" i="2"/>
  <c r="B73" i="2"/>
  <c r="B72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4" i="2"/>
  <c r="B43" i="2"/>
  <c r="B42" i="2"/>
  <c r="B41" i="2"/>
  <c r="B40" i="2"/>
  <c r="B39" i="2"/>
  <c r="B38" i="2"/>
  <c r="B37" i="2"/>
  <c r="K34" i="2"/>
  <c r="K33" i="2"/>
  <c r="B33" i="2"/>
  <c r="J32" i="2"/>
  <c r="H32" i="2"/>
  <c r="G32" i="2"/>
  <c r="F32" i="2"/>
  <c r="E32" i="2"/>
  <c r="D32" i="2"/>
  <c r="C32" i="2"/>
  <c r="J30" i="2"/>
  <c r="J29" i="2"/>
  <c r="I27" i="2"/>
  <c r="J25" i="2"/>
  <c r="J24" i="2"/>
  <c r="G19" i="2"/>
  <c r="F19" i="2"/>
  <c r="E19" i="2"/>
  <c r="D19" i="2"/>
  <c r="C19" i="2"/>
  <c r="I18" i="2"/>
  <c r="M394" i="1"/>
  <c r="L394" i="1"/>
  <c r="K394" i="1"/>
  <c r="J394" i="1"/>
  <c r="I394" i="1"/>
  <c r="H394" i="1"/>
  <c r="M393" i="1"/>
  <c r="L393" i="1"/>
  <c r="K393" i="1"/>
  <c r="J393" i="1"/>
  <c r="H393" i="1"/>
  <c r="H392" i="1"/>
  <c r="J390" i="1"/>
  <c r="I390" i="1"/>
  <c r="H390" i="1"/>
  <c r="M389" i="1"/>
  <c r="K389" i="1"/>
  <c r="J389" i="1"/>
  <c r="H389" i="1"/>
  <c r="H388" i="1"/>
  <c r="M387" i="1"/>
  <c r="H387" i="1"/>
  <c r="B387" i="1"/>
  <c r="M386" i="1"/>
  <c r="H386" i="1"/>
  <c r="B386" i="1"/>
  <c r="M385" i="1"/>
  <c r="H385" i="1"/>
  <c r="B385" i="1"/>
  <c r="M384" i="1"/>
  <c r="H384" i="1"/>
  <c r="B384" i="1"/>
  <c r="M383" i="1"/>
  <c r="H383" i="1"/>
  <c r="B383" i="1"/>
  <c r="M382" i="1"/>
  <c r="H382" i="1"/>
  <c r="B382" i="1"/>
  <c r="M381" i="1"/>
  <c r="H381" i="1"/>
  <c r="B381" i="1"/>
  <c r="M380" i="1"/>
  <c r="H380" i="1"/>
  <c r="B380" i="1"/>
  <c r="M379" i="1"/>
  <c r="H379" i="1"/>
  <c r="G379" i="1"/>
  <c r="F379" i="1"/>
  <c r="M378" i="1"/>
  <c r="H378" i="1"/>
  <c r="G378" i="1"/>
  <c r="F378" i="1"/>
  <c r="M377" i="1"/>
  <c r="H377" i="1"/>
  <c r="G377" i="1"/>
  <c r="F377" i="1"/>
  <c r="L376" i="1"/>
  <c r="H376" i="1"/>
  <c r="G376" i="1"/>
  <c r="F376" i="1"/>
  <c r="B376" i="1"/>
  <c r="L375" i="1"/>
  <c r="H375" i="1"/>
  <c r="G375" i="1"/>
  <c r="F375" i="1"/>
  <c r="B375" i="1"/>
  <c r="L374" i="1"/>
  <c r="H374" i="1"/>
  <c r="G374" i="1"/>
  <c r="F374" i="1"/>
  <c r="B374" i="1"/>
  <c r="L373" i="1"/>
  <c r="H373" i="1"/>
  <c r="G373" i="1"/>
  <c r="F373" i="1"/>
  <c r="B373" i="1"/>
  <c r="L372" i="1"/>
  <c r="H372" i="1"/>
  <c r="G372" i="1"/>
  <c r="F372" i="1"/>
  <c r="B372" i="1"/>
  <c r="L371" i="1"/>
  <c r="H371" i="1"/>
  <c r="G371" i="1"/>
  <c r="F371" i="1"/>
  <c r="B371" i="1"/>
  <c r="L370" i="1"/>
  <c r="H370" i="1"/>
  <c r="G370" i="1"/>
  <c r="F370" i="1"/>
  <c r="B370" i="1"/>
  <c r="L369" i="1"/>
  <c r="H369" i="1"/>
  <c r="G369" i="1"/>
  <c r="F369" i="1"/>
  <c r="B369" i="1"/>
  <c r="L368" i="1"/>
  <c r="H368" i="1"/>
  <c r="G368" i="1"/>
  <c r="F368" i="1"/>
  <c r="B368" i="1"/>
  <c r="L367" i="1"/>
  <c r="H367" i="1"/>
  <c r="G367" i="1"/>
  <c r="F367" i="1"/>
  <c r="B367" i="1"/>
  <c r="L366" i="1"/>
  <c r="H366" i="1"/>
  <c r="G366" i="1"/>
  <c r="F366" i="1"/>
  <c r="B366" i="1"/>
  <c r="L365" i="1"/>
  <c r="H365" i="1"/>
  <c r="G365" i="1"/>
  <c r="F365" i="1"/>
  <c r="B365" i="1"/>
  <c r="L364" i="1"/>
  <c r="H364" i="1"/>
  <c r="G364" i="1"/>
  <c r="F364" i="1"/>
  <c r="B364" i="1"/>
  <c r="L363" i="1"/>
  <c r="H363" i="1"/>
  <c r="G363" i="1"/>
  <c r="F363" i="1"/>
  <c r="B363" i="1"/>
  <c r="L362" i="1"/>
  <c r="H362" i="1"/>
  <c r="G362" i="1"/>
  <c r="F362" i="1"/>
  <c r="B362" i="1"/>
  <c r="L361" i="1"/>
  <c r="H361" i="1"/>
  <c r="G361" i="1"/>
  <c r="F361" i="1"/>
  <c r="B361" i="1"/>
  <c r="L360" i="1"/>
  <c r="H360" i="1"/>
  <c r="G360" i="1"/>
  <c r="F360" i="1"/>
  <c r="B360" i="1"/>
  <c r="L359" i="1"/>
  <c r="H359" i="1"/>
  <c r="G359" i="1"/>
  <c r="F359" i="1"/>
  <c r="B359" i="1"/>
  <c r="L358" i="1"/>
  <c r="H358" i="1"/>
  <c r="G358" i="1"/>
  <c r="F358" i="1"/>
  <c r="B358" i="1"/>
  <c r="L357" i="1"/>
  <c r="H357" i="1"/>
  <c r="G357" i="1"/>
  <c r="F357" i="1"/>
  <c r="B357" i="1"/>
  <c r="L356" i="1"/>
  <c r="H356" i="1"/>
  <c r="G356" i="1"/>
  <c r="F356" i="1"/>
  <c r="B356" i="1"/>
  <c r="L355" i="1"/>
  <c r="H355" i="1"/>
  <c r="G355" i="1"/>
  <c r="F355" i="1"/>
  <c r="B355" i="1"/>
  <c r="L354" i="1"/>
  <c r="H354" i="1"/>
  <c r="G354" i="1"/>
  <c r="F354" i="1"/>
  <c r="B354" i="1"/>
  <c r="L353" i="1"/>
  <c r="H353" i="1"/>
  <c r="G353" i="1"/>
  <c r="F353" i="1"/>
  <c r="B353" i="1"/>
  <c r="L352" i="1"/>
  <c r="H352" i="1"/>
  <c r="G352" i="1"/>
  <c r="F352" i="1"/>
  <c r="B352" i="1"/>
  <c r="L351" i="1"/>
  <c r="H351" i="1"/>
  <c r="G351" i="1"/>
  <c r="F351" i="1"/>
  <c r="B351" i="1"/>
  <c r="L350" i="1"/>
  <c r="H350" i="1"/>
  <c r="G350" i="1"/>
  <c r="F350" i="1"/>
  <c r="B350" i="1"/>
  <c r="L349" i="1"/>
  <c r="H349" i="1"/>
  <c r="G349" i="1"/>
  <c r="F349" i="1"/>
  <c r="B349" i="1"/>
  <c r="L348" i="1"/>
  <c r="H348" i="1"/>
  <c r="G348" i="1"/>
  <c r="F348" i="1"/>
  <c r="B348" i="1"/>
  <c r="L347" i="1"/>
  <c r="H347" i="1"/>
  <c r="G347" i="1"/>
  <c r="F347" i="1"/>
  <c r="B347" i="1"/>
  <c r="L346" i="1"/>
  <c r="H346" i="1"/>
  <c r="G346" i="1"/>
  <c r="F346" i="1"/>
  <c r="B346" i="1"/>
  <c r="L345" i="1"/>
  <c r="H345" i="1"/>
  <c r="G345" i="1"/>
  <c r="F345" i="1"/>
  <c r="B345" i="1"/>
  <c r="L344" i="1"/>
  <c r="H344" i="1"/>
  <c r="G344" i="1"/>
  <c r="F344" i="1"/>
  <c r="B344" i="1"/>
  <c r="L343" i="1"/>
  <c r="H343" i="1"/>
  <c r="G343" i="1"/>
  <c r="F343" i="1"/>
  <c r="B343" i="1"/>
  <c r="L342" i="1"/>
  <c r="H342" i="1"/>
  <c r="G342" i="1"/>
  <c r="F342" i="1"/>
  <c r="B342" i="1"/>
  <c r="L341" i="1"/>
  <c r="H341" i="1"/>
  <c r="G341" i="1"/>
  <c r="F341" i="1"/>
  <c r="B341" i="1"/>
  <c r="L340" i="1"/>
  <c r="H340" i="1"/>
  <c r="G340" i="1"/>
  <c r="F340" i="1"/>
  <c r="B340" i="1"/>
  <c r="L339" i="1"/>
  <c r="H339" i="1"/>
  <c r="G339" i="1"/>
  <c r="F339" i="1"/>
  <c r="B339" i="1"/>
  <c r="L338" i="1"/>
  <c r="H338" i="1"/>
  <c r="G338" i="1"/>
  <c r="F338" i="1"/>
  <c r="B338" i="1"/>
  <c r="L337" i="1"/>
  <c r="H337" i="1"/>
  <c r="G337" i="1"/>
  <c r="F337" i="1"/>
  <c r="B337" i="1"/>
  <c r="L336" i="1"/>
  <c r="H336" i="1"/>
  <c r="G336" i="1"/>
  <c r="F336" i="1"/>
  <c r="B336" i="1"/>
  <c r="L335" i="1"/>
  <c r="H335" i="1"/>
  <c r="G335" i="1"/>
  <c r="F335" i="1"/>
  <c r="B335" i="1"/>
  <c r="L334" i="1"/>
  <c r="H334" i="1"/>
  <c r="G334" i="1"/>
  <c r="F334" i="1"/>
  <c r="B334" i="1"/>
  <c r="L333" i="1"/>
  <c r="H333" i="1"/>
  <c r="G333" i="1"/>
  <c r="F333" i="1"/>
  <c r="B333" i="1"/>
  <c r="L332" i="1"/>
  <c r="H332" i="1"/>
  <c r="G332" i="1"/>
  <c r="F332" i="1"/>
  <c r="B332" i="1"/>
  <c r="L331" i="1"/>
  <c r="H331" i="1"/>
  <c r="G331" i="1"/>
  <c r="F331" i="1"/>
  <c r="B331" i="1"/>
  <c r="L330" i="1"/>
  <c r="H330" i="1"/>
  <c r="G330" i="1"/>
  <c r="F330" i="1"/>
  <c r="B330" i="1"/>
  <c r="L329" i="1"/>
  <c r="H329" i="1"/>
  <c r="G329" i="1"/>
  <c r="F329" i="1"/>
  <c r="B329" i="1"/>
  <c r="L328" i="1"/>
  <c r="H328" i="1"/>
  <c r="G328" i="1"/>
  <c r="F328" i="1"/>
  <c r="B328" i="1"/>
  <c r="L327" i="1"/>
  <c r="H327" i="1"/>
  <c r="G327" i="1"/>
  <c r="F327" i="1"/>
  <c r="B327" i="1"/>
  <c r="L326" i="1"/>
  <c r="H326" i="1"/>
  <c r="G326" i="1"/>
  <c r="F326" i="1"/>
  <c r="B326" i="1"/>
  <c r="L325" i="1"/>
  <c r="H325" i="1"/>
  <c r="G325" i="1"/>
  <c r="F325" i="1"/>
  <c r="B325" i="1"/>
  <c r="L324" i="1"/>
  <c r="H324" i="1"/>
  <c r="G324" i="1"/>
  <c r="F324" i="1"/>
  <c r="B324" i="1"/>
  <c r="L323" i="1"/>
  <c r="H323" i="1"/>
  <c r="F323" i="1"/>
  <c r="B323" i="1"/>
  <c r="L322" i="1"/>
  <c r="H322" i="1"/>
  <c r="G322" i="1"/>
  <c r="F322" i="1"/>
  <c r="B322" i="1"/>
  <c r="L321" i="1"/>
  <c r="H321" i="1"/>
  <c r="G321" i="1"/>
  <c r="F321" i="1"/>
  <c r="B321" i="1"/>
  <c r="L320" i="1"/>
  <c r="H320" i="1"/>
  <c r="G320" i="1"/>
  <c r="F320" i="1"/>
  <c r="B320" i="1"/>
  <c r="L319" i="1"/>
  <c r="H319" i="1"/>
  <c r="G319" i="1"/>
  <c r="F319" i="1"/>
  <c r="B319" i="1"/>
  <c r="K318" i="1"/>
  <c r="H318" i="1"/>
  <c r="G318" i="1"/>
  <c r="F318" i="1"/>
  <c r="B318" i="1"/>
  <c r="K317" i="1"/>
  <c r="H317" i="1"/>
  <c r="F317" i="1"/>
  <c r="B317" i="1"/>
  <c r="K316" i="1"/>
  <c r="H316" i="1"/>
  <c r="F316" i="1"/>
  <c r="B316" i="1"/>
  <c r="K315" i="1"/>
  <c r="H315" i="1"/>
  <c r="F315" i="1"/>
  <c r="B315" i="1"/>
  <c r="K314" i="1"/>
  <c r="H314" i="1"/>
  <c r="G314" i="1"/>
  <c r="F314" i="1"/>
  <c r="B314" i="1"/>
  <c r="K313" i="1"/>
  <c r="H313" i="1"/>
  <c r="G313" i="1"/>
  <c r="F313" i="1"/>
  <c r="B313" i="1"/>
  <c r="K312" i="1"/>
  <c r="H312" i="1"/>
  <c r="G312" i="1"/>
  <c r="F312" i="1"/>
  <c r="B312" i="1"/>
  <c r="K311" i="1"/>
  <c r="H311" i="1"/>
  <c r="G311" i="1"/>
  <c r="F311" i="1"/>
  <c r="B311" i="1"/>
  <c r="K310" i="1"/>
  <c r="H310" i="1"/>
  <c r="G310" i="1"/>
  <c r="F310" i="1"/>
  <c r="B310" i="1"/>
  <c r="K309" i="1"/>
  <c r="H309" i="1"/>
  <c r="F309" i="1"/>
  <c r="B309" i="1"/>
  <c r="K308" i="1"/>
  <c r="H308" i="1"/>
  <c r="F308" i="1"/>
  <c r="B308" i="1"/>
  <c r="K307" i="1"/>
  <c r="H307" i="1"/>
  <c r="G307" i="1"/>
  <c r="F307" i="1"/>
  <c r="B307" i="1"/>
  <c r="K306" i="1"/>
  <c r="H306" i="1"/>
  <c r="F306" i="1"/>
  <c r="B306" i="1"/>
  <c r="K305" i="1"/>
  <c r="H305" i="1"/>
  <c r="F305" i="1"/>
  <c r="B305" i="1"/>
  <c r="K304" i="1"/>
  <c r="H304" i="1"/>
  <c r="G304" i="1"/>
  <c r="F304" i="1"/>
  <c r="B304" i="1"/>
  <c r="K303" i="1"/>
  <c r="H303" i="1"/>
  <c r="F303" i="1"/>
  <c r="B303" i="1"/>
  <c r="K302" i="1"/>
  <c r="H302" i="1"/>
  <c r="G302" i="1"/>
  <c r="F302" i="1"/>
  <c r="B302" i="1"/>
  <c r="K301" i="1"/>
  <c r="H301" i="1"/>
  <c r="G301" i="1"/>
  <c r="F301" i="1"/>
  <c r="B301" i="1"/>
  <c r="K300" i="1"/>
  <c r="H300" i="1"/>
  <c r="F300" i="1"/>
  <c r="B300" i="1"/>
  <c r="K299" i="1"/>
  <c r="H299" i="1"/>
  <c r="G299" i="1"/>
  <c r="F299" i="1"/>
  <c r="B299" i="1"/>
  <c r="K298" i="1"/>
  <c r="H298" i="1"/>
  <c r="F298" i="1"/>
  <c r="B298" i="1"/>
  <c r="K297" i="1"/>
  <c r="H297" i="1"/>
  <c r="F297" i="1"/>
  <c r="B297" i="1"/>
  <c r="K296" i="1"/>
  <c r="H296" i="1"/>
  <c r="G296" i="1"/>
  <c r="F296" i="1"/>
  <c r="B296" i="1"/>
  <c r="K295" i="1"/>
  <c r="H295" i="1"/>
  <c r="G295" i="1"/>
  <c r="F295" i="1"/>
  <c r="B295" i="1"/>
  <c r="K294" i="1"/>
  <c r="H294" i="1"/>
  <c r="G294" i="1"/>
  <c r="F294" i="1"/>
  <c r="B294" i="1"/>
  <c r="K293" i="1"/>
  <c r="H293" i="1"/>
  <c r="F293" i="1"/>
  <c r="B293" i="1"/>
  <c r="K292" i="1"/>
  <c r="H292" i="1"/>
  <c r="G292" i="1"/>
  <c r="F292" i="1"/>
  <c r="B292" i="1"/>
  <c r="K291" i="1"/>
  <c r="H291" i="1"/>
  <c r="G291" i="1"/>
  <c r="F291" i="1"/>
  <c r="B291" i="1"/>
  <c r="K290" i="1"/>
  <c r="H290" i="1"/>
  <c r="F290" i="1"/>
  <c r="B290" i="1"/>
  <c r="K289" i="1"/>
  <c r="H289" i="1"/>
  <c r="G289" i="1"/>
  <c r="F289" i="1"/>
  <c r="B289" i="1"/>
  <c r="K288" i="1"/>
  <c r="H288" i="1"/>
  <c r="G288" i="1"/>
  <c r="F288" i="1"/>
  <c r="B288" i="1"/>
  <c r="K287" i="1"/>
  <c r="H287" i="1"/>
  <c r="G287" i="1"/>
  <c r="F287" i="1"/>
  <c r="B287" i="1"/>
  <c r="K286" i="1"/>
  <c r="H286" i="1"/>
  <c r="F286" i="1"/>
  <c r="B286" i="1"/>
  <c r="K285" i="1"/>
  <c r="H285" i="1"/>
  <c r="G285" i="1"/>
  <c r="F285" i="1"/>
  <c r="B285" i="1"/>
  <c r="K284" i="1"/>
  <c r="H284" i="1"/>
  <c r="G284" i="1"/>
  <c r="F284" i="1"/>
  <c r="B284" i="1"/>
  <c r="K283" i="1"/>
  <c r="H283" i="1"/>
  <c r="G283" i="1"/>
  <c r="F283" i="1"/>
  <c r="B283" i="1"/>
  <c r="K282" i="1"/>
  <c r="H282" i="1"/>
  <c r="G282" i="1"/>
  <c r="F282" i="1"/>
  <c r="B282" i="1"/>
  <c r="K281" i="1"/>
  <c r="H281" i="1"/>
  <c r="G281" i="1"/>
  <c r="F281" i="1"/>
  <c r="B281" i="1"/>
  <c r="K280" i="1"/>
  <c r="H280" i="1"/>
  <c r="F280" i="1"/>
  <c r="B280" i="1"/>
  <c r="K279" i="1"/>
  <c r="H279" i="1"/>
  <c r="G279" i="1"/>
  <c r="F279" i="1"/>
  <c r="B279" i="1"/>
  <c r="K278" i="1"/>
  <c r="H278" i="1"/>
  <c r="F278" i="1"/>
  <c r="B278" i="1"/>
  <c r="K277" i="1"/>
  <c r="H277" i="1"/>
  <c r="F277" i="1"/>
  <c r="B277" i="1"/>
  <c r="K276" i="1"/>
  <c r="H276" i="1"/>
  <c r="G276" i="1"/>
  <c r="F276" i="1"/>
  <c r="B276" i="1"/>
  <c r="K275" i="1"/>
  <c r="H275" i="1"/>
  <c r="F275" i="1"/>
  <c r="B275" i="1"/>
  <c r="K274" i="1"/>
  <c r="H274" i="1"/>
  <c r="F274" i="1"/>
  <c r="B274" i="1"/>
  <c r="K273" i="1"/>
  <c r="H273" i="1"/>
  <c r="F273" i="1"/>
  <c r="B273" i="1"/>
  <c r="K272" i="1"/>
  <c r="H272" i="1"/>
  <c r="F272" i="1"/>
  <c r="B272" i="1"/>
  <c r="K271" i="1"/>
  <c r="H271" i="1"/>
  <c r="G271" i="1"/>
  <c r="F271" i="1"/>
  <c r="B271" i="1"/>
  <c r="K270" i="1"/>
  <c r="H270" i="1"/>
  <c r="G270" i="1"/>
  <c r="F270" i="1"/>
  <c r="B270" i="1"/>
  <c r="K269" i="1"/>
  <c r="H269" i="1"/>
  <c r="F269" i="1"/>
  <c r="B269" i="1"/>
  <c r="K268" i="1"/>
  <c r="H268" i="1"/>
  <c r="G268" i="1"/>
  <c r="F268" i="1"/>
  <c r="B268" i="1"/>
  <c r="K267" i="1"/>
  <c r="H267" i="1"/>
  <c r="G267" i="1"/>
  <c r="F267" i="1"/>
  <c r="B267" i="1"/>
  <c r="K266" i="1"/>
  <c r="H266" i="1"/>
  <c r="G266" i="1"/>
  <c r="F266" i="1"/>
  <c r="B266" i="1"/>
  <c r="K265" i="1"/>
  <c r="H265" i="1"/>
  <c r="F265" i="1"/>
  <c r="B265" i="1"/>
  <c r="K264" i="1"/>
  <c r="H264" i="1"/>
  <c r="G264" i="1"/>
  <c r="F264" i="1"/>
  <c r="B264" i="1"/>
  <c r="K263" i="1"/>
  <c r="H263" i="1"/>
  <c r="F263" i="1"/>
  <c r="B263" i="1"/>
  <c r="K262" i="1"/>
  <c r="H262" i="1"/>
  <c r="F262" i="1"/>
  <c r="B262" i="1"/>
  <c r="H261" i="1"/>
  <c r="G261" i="1"/>
  <c r="F261" i="1"/>
  <c r="B261" i="1"/>
  <c r="H260" i="1"/>
  <c r="G260" i="1"/>
  <c r="F260" i="1"/>
  <c r="B260" i="1"/>
  <c r="H259" i="1"/>
  <c r="F259" i="1"/>
  <c r="B259" i="1"/>
  <c r="H258" i="1"/>
  <c r="F258" i="1"/>
  <c r="B258" i="1"/>
  <c r="H257" i="1"/>
  <c r="G257" i="1"/>
  <c r="F257" i="1"/>
  <c r="B257" i="1"/>
  <c r="M256" i="1"/>
  <c r="H256" i="1"/>
  <c r="G256" i="1"/>
  <c r="F256" i="1"/>
  <c r="M255" i="1"/>
  <c r="H255" i="1"/>
  <c r="G255" i="1"/>
  <c r="F255" i="1"/>
  <c r="M254" i="1"/>
  <c r="H254" i="1"/>
  <c r="F254" i="1"/>
  <c r="B254" i="1"/>
  <c r="L253" i="1"/>
  <c r="K253" i="1"/>
  <c r="H253" i="1"/>
  <c r="K252" i="1"/>
  <c r="H252" i="1"/>
  <c r="F252" i="1"/>
  <c r="K251" i="1"/>
  <c r="H251" i="1"/>
  <c r="F251" i="1"/>
  <c r="H250" i="1"/>
  <c r="F250" i="1"/>
  <c r="J249" i="1"/>
  <c r="H249" i="1"/>
  <c r="F249" i="1"/>
  <c r="H248" i="1"/>
  <c r="F248" i="1"/>
  <c r="I247" i="1"/>
  <c r="H247" i="1"/>
  <c r="F247" i="1"/>
  <c r="I246" i="1"/>
  <c r="H246" i="1"/>
  <c r="F246" i="1"/>
  <c r="I245" i="1"/>
  <c r="H245" i="1"/>
  <c r="F245" i="1"/>
  <c r="H244" i="1"/>
  <c r="F244" i="1"/>
  <c r="H243" i="1"/>
  <c r="F243" i="1"/>
  <c r="J242" i="1"/>
  <c r="I242" i="1"/>
  <c r="H242" i="1"/>
  <c r="G242" i="1"/>
  <c r="F242" i="1"/>
  <c r="F241" i="1"/>
  <c r="F240" i="1"/>
  <c r="M239" i="1"/>
  <c r="L239" i="1"/>
  <c r="K239" i="1"/>
  <c r="J239" i="1"/>
  <c r="I239" i="1"/>
  <c r="H239" i="1"/>
  <c r="K236" i="1"/>
  <c r="J236" i="1"/>
  <c r="H236" i="1"/>
  <c r="K235" i="1"/>
  <c r="J235" i="1"/>
  <c r="I235" i="1"/>
  <c r="H235" i="1"/>
  <c r="J234" i="1"/>
  <c r="I234" i="1"/>
  <c r="H234" i="1"/>
  <c r="J232" i="1"/>
  <c r="I232" i="1"/>
  <c r="H232" i="1"/>
  <c r="M231" i="1"/>
  <c r="L231" i="1"/>
  <c r="K231" i="1"/>
  <c r="J231" i="1"/>
  <c r="I231" i="1"/>
  <c r="H231" i="1"/>
  <c r="L228" i="1"/>
  <c r="K228" i="1"/>
  <c r="I228" i="1"/>
  <c r="H228" i="1"/>
  <c r="H227" i="1"/>
  <c r="H226" i="1"/>
  <c r="J222" i="1"/>
  <c r="H222" i="1"/>
  <c r="H221" i="1"/>
  <c r="L220" i="1"/>
  <c r="H220" i="1"/>
  <c r="H219" i="1"/>
  <c r="H218" i="1"/>
  <c r="H217" i="1"/>
  <c r="H216" i="1"/>
  <c r="H215" i="1"/>
  <c r="H214" i="1"/>
  <c r="H213" i="1"/>
  <c r="M212" i="1"/>
  <c r="L212" i="1"/>
  <c r="K212" i="1"/>
  <c r="J212" i="1"/>
  <c r="I212" i="1"/>
  <c r="H212" i="1"/>
  <c r="H209" i="1"/>
  <c r="K208" i="1"/>
  <c r="J208" i="1"/>
  <c r="H208" i="1"/>
  <c r="H207" i="1"/>
  <c r="M204" i="1"/>
  <c r="L204" i="1"/>
  <c r="K204" i="1"/>
  <c r="J204" i="1"/>
  <c r="I204" i="1"/>
  <c r="H204" i="1"/>
  <c r="M203" i="1"/>
  <c r="L203" i="1"/>
  <c r="K203" i="1"/>
  <c r="J203" i="1"/>
  <c r="I203" i="1"/>
  <c r="H203" i="1"/>
  <c r="M200" i="1"/>
  <c r="L200" i="1"/>
  <c r="K200" i="1"/>
  <c r="J200" i="1"/>
  <c r="H200" i="1"/>
  <c r="H199" i="1"/>
  <c r="H198" i="1"/>
  <c r="H195" i="1"/>
  <c r="I194" i="1"/>
  <c r="H194" i="1"/>
  <c r="K193" i="1"/>
  <c r="J193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H175" i="1"/>
  <c r="I174" i="1"/>
  <c r="H174" i="1"/>
  <c r="I173" i="1"/>
  <c r="H173" i="1"/>
  <c r="I172" i="1"/>
  <c r="H172" i="1"/>
  <c r="H171" i="1"/>
  <c r="H170" i="1"/>
  <c r="I169" i="1"/>
  <c r="H169" i="1"/>
  <c r="I168" i="1"/>
  <c r="H168" i="1"/>
  <c r="M167" i="1"/>
  <c r="L167" i="1"/>
  <c r="K167" i="1"/>
  <c r="J167" i="1"/>
  <c r="I167" i="1"/>
  <c r="H167" i="1"/>
  <c r="L164" i="1"/>
  <c r="K164" i="1"/>
  <c r="J164" i="1"/>
  <c r="H164" i="1"/>
  <c r="L163" i="1"/>
  <c r="K163" i="1"/>
  <c r="J163" i="1"/>
  <c r="H163" i="1"/>
  <c r="K162" i="1"/>
  <c r="J162" i="1"/>
  <c r="H162" i="1"/>
  <c r="K161" i="1"/>
  <c r="H161" i="1"/>
  <c r="H158" i="1"/>
  <c r="I157" i="1"/>
  <c r="H157" i="1"/>
  <c r="H156" i="1"/>
  <c r="F156" i="1"/>
  <c r="H155" i="1"/>
  <c r="F155" i="1"/>
  <c r="H154" i="1"/>
  <c r="F154" i="1"/>
  <c r="H153" i="1"/>
  <c r="F153" i="1"/>
  <c r="K152" i="1"/>
  <c r="H152" i="1"/>
  <c r="K151" i="1"/>
  <c r="H151" i="1"/>
  <c r="B151" i="1"/>
  <c r="K150" i="1"/>
  <c r="H150" i="1"/>
  <c r="B150" i="1"/>
  <c r="K149" i="1"/>
  <c r="H149" i="1"/>
  <c r="K148" i="1"/>
  <c r="H148" i="1"/>
  <c r="F148" i="1"/>
  <c r="K147" i="1"/>
  <c r="H147" i="1"/>
  <c r="F147" i="1"/>
  <c r="K146" i="1"/>
  <c r="H146" i="1"/>
  <c r="H145" i="1"/>
  <c r="F145" i="1"/>
  <c r="H144" i="1"/>
  <c r="G144" i="1"/>
  <c r="F144" i="1"/>
  <c r="J143" i="1"/>
  <c r="H143" i="1"/>
  <c r="F143" i="1"/>
  <c r="H142" i="1"/>
  <c r="I141" i="1"/>
  <c r="H141" i="1"/>
  <c r="H140" i="1"/>
  <c r="F139" i="1"/>
  <c r="F138" i="1"/>
  <c r="M137" i="1"/>
  <c r="L137" i="1"/>
  <c r="K137" i="1"/>
  <c r="J137" i="1"/>
  <c r="I137" i="1"/>
  <c r="H137" i="1"/>
  <c r="M134" i="1"/>
  <c r="L134" i="1"/>
  <c r="K134" i="1"/>
  <c r="J134" i="1"/>
  <c r="H134" i="1"/>
  <c r="M133" i="1"/>
  <c r="L133" i="1"/>
  <c r="K133" i="1"/>
  <c r="J133" i="1"/>
  <c r="H133" i="1"/>
  <c r="H132" i="1"/>
  <c r="I130" i="1"/>
  <c r="H130" i="1"/>
  <c r="K129" i="1"/>
  <c r="J129" i="1"/>
  <c r="I129" i="1"/>
  <c r="H129" i="1"/>
  <c r="I128" i="1"/>
  <c r="H128" i="1"/>
  <c r="I127" i="1"/>
  <c r="H127" i="1"/>
  <c r="H126" i="1"/>
  <c r="H125" i="1"/>
  <c r="H124" i="1"/>
  <c r="H123" i="1"/>
  <c r="H122" i="1"/>
  <c r="H121" i="1"/>
  <c r="H120" i="1"/>
  <c r="H119" i="1"/>
  <c r="F119" i="1"/>
  <c r="H118" i="1"/>
  <c r="H117" i="1"/>
  <c r="H116" i="1"/>
  <c r="H115" i="1"/>
  <c r="H114" i="1"/>
  <c r="H113" i="1"/>
  <c r="H112" i="1"/>
  <c r="H111" i="1"/>
  <c r="J110" i="1"/>
  <c r="H110" i="1"/>
  <c r="J109" i="1"/>
  <c r="H109" i="1"/>
  <c r="J108" i="1"/>
  <c r="H108" i="1"/>
  <c r="J107" i="1"/>
  <c r="H107" i="1"/>
  <c r="J106" i="1"/>
  <c r="H106" i="1"/>
  <c r="J105" i="1"/>
  <c r="H105" i="1"/>
  <c r="J104" i="1"/>
  <c r="H104" i="1"/>
  <c r="J103" i="1"/>
  <c r="H103" i="1"/>
  <c r="J102" i="1"/>
  <c r="H102" i="1"/>
  <c r="J101" i="1"/>
  <c r="H101" i="1"/>
  <c r="J100" i="1"/>
  <c r="H100" i="1"/>
  <c r="J99" i="1"/>
  <c r="H99" i="1"/>
  <c r="J98" i="1"/>
  <c r="H98" i="1"/>
  <c r="J97" i="1"/>
  <c r="H97" i="1"/>
  <c r="J96" i="1"/>
  <c r="H96" i="1"/>
  <c r="J95" i="1"/>
  <c r="H95" i="1"/>
  <c r="J94" i="1"/>
  <c r="H94" i="1"/>
  <c r="I93" i="1"/>
  <c r="H93" i="1"/>
  <c r="J92" i="1"/>
  <c r="I92" i="1"/>
  <c r="H92" i="1"/>
  <c r="I91" i="1"/>
  <c r="H91" i="1"/>
  <c r="J90" i="1"/>
  <c r="I90" i="1"/>
  <c r="H90" i="1"/>
  <c r="I89" i="1"/>
  <c r="H89" i="1"/>
  <c r="J88" i="1"/>
  <c r="I88" i="1"/>
  <c r="H88" i="1"/>
  <c r="J87" i="1"/>
  <c r="I87" i="1"/>
  <c r="H87" i="1"/>
  <c r="I86" i="1"/>
  <c r="H86" i="1"/>
  <c r="J85" i="1"/>
  <c r="I85" i="1"/>
  <c r="H85" i="1"/>
  <c r="I84" i="1"/>
  <c r="H84" i="1"/>
  <c r="I83" i="1"/>
  <c r="H83" i="1"/>
  <c r="J82" i="1"/>
  <c r="I82" i="1"/>
  <c r="H82" i="1"/>
  <c r="J81" i="1"/>
  <c r="H81" i="1"/>
  <c r="J80" i="1"/>
  <c r="H80" i="1"/>
  <c r="J79" i="1"/>
  <c r="I79" i="1"/>
  <c r="H79" i="1"/>
  <c r="I78" i="1"/>
  <c r="H78" i="1"/>
  <c r="I77" i="1"/>
  <c r="H77" i="1"/>
  <c r="J76" i="1"/>
  <c r="I76" i="1"/>
  <c r="H76" i="1"/>
  <c r="J75" i="1"/>
  <c r="I75" i="1"/>
  <c r="H75" i="1"/>
  <c r="K74" i="1"/>
  <c r="H74" i="1"/>
  <c r="F74" i="1"/>
  <c r="L73" i="1"/>
  <c r="H73" i="1"/>
  <c r="F73" i="1"/>
  <c r="K72" i="1"/>
  <c r="H72" i="1"/>
  <c r="K71" i="1"/>
  <c r="H71" i="1"/>
  <c r="K70" i="1"/>
  <c r="H70" i="1"/>
  <c r="K69" i="1"/>
  <c r="H69" i="1"/>
  <c r="L68" i="1"/>
  <c r="H68" i="1"/>
  <c r="B68" i="1"/>
  <c r="K67" i="1"/>
  <c r="H67" i="1"/>
  <c r="B67" i="1"/>
  <c r="H66" i="1"/>
  <c r="L65" i="1"/>
  <c r="H65" i="1"/>
  <c r="H64" i="1"/>
  <c r="K63" i="1"/>
  <c r="H63" i="1"/>
  <c r="K62" i="1"/>
  <c r="H62" i="1"/>
  <c r="K61" i="1"/>
  <c r="H61" i="1"/>
  <c r="K60" i="1"/>
  <c r="H60" i="1"/>
  <c r="K59" i="1"/>
  <c r="H59" i="1"/>
  <c r="K58" i="1"/>
  <c r="H58" i="1"/>
  <c r="I57" i="1"/>
  <c r="H57" i="1"/>
  <c r="H56" i="1"/>
  <c r="H55" i="1"/>
  <c r="H54" i="1"/>
  <c r="H53" i="1"/>
  <c r="H52" i="1"/>
  <c r="H51" i="1"/>
  <c r="H50" i="1"/>
  <c r="I49" i="1"/>
  <c r="H49" i="1"/>
  <c r="F49" i="1"/>
  <c r="H48" i="1"/>
  <c r="F48" i="1"/>
  <c r="I47" i="1"/>
  <c r="H47" i="1"/>
  <c r="G47" i="1"/>
  <c r="F47" i="1"/>
  <c r="I46" i="1"/>
  <c r="H46" i="1"/>
  <c r="F46" i="1"/>
  <c r="I45" i="1"/>
  <c r="H45" i="1"/>
  <c r="G45" i="1"/>
  <c r="F45" i="1"/>
  <c r="I44" i="1"/>
  <c r="H44" i="1"/>
  <c r="F43" i="1"/>
  <c r="F42" i="1"/>
  <c r="M41" i="1"/>
  <c r="L41" i="1"/>
  <c r="K41" i="1"/>
  <c r="J41" i="1"/>
  <c r="I41" i="1"/>
  <c r="H41" i="1"/>
  <c r="M38" i="1"/>
  <c r="L38" i="1"/>
  <c r="K38" i="1"/>
  <c r="J38" i="1"/>
  <c r="I38" i="1"/>
  <c r="H38" i="1"/>
  <c r="K37" i="1"/>
  <c r="J37" i="1"/>
  <c r="H37" i="1"/>
  <c r="H36" i="1"/>
  <c r="K34" i="1"/>
  <c r="I34" i="1"/>
  <c r="H34" i="1"/>
  <c r="K33" i="1"/>
  <c r="H33" i="1"/>
  <c r="K32" i="1"/>
  <c r="J32" i="1"/>
  <c r="I32" i="1"/>
  <c r="H32" i="1"/>
  <c r="K31" i="1"/>
  <c r="H31" i="1"/>
  <c r="M30" i="1"/>
  <c r="L30" i="1"/>
  <c r="K30" i="1"/>
  <c r="J30" i="1"/>
  <c r="I30" i="1"/>
  <c r="H30" i="1"/>
  <c r="M29" i="1"/>
  <c r="L29" i="1"/>
  <c r="K29" i="1"/>
  <c r="J29" i="1"/>
  <c r="H29" i="1"/>
  <c r="M28" i="1"/>
  <c r="L28" i="1"/>
  <c r="K28" i="1"/>
  <c r="J28" i="1"/>
  <c r="I28" i="1"/>
  <c r="H28" i="1"/>
  <c r="L27" i="1"/>
  <c r="K27" i="1"/>
  <c r="J27" i="1"/>
  <c r="I27" i="1"/>
  <c r="H27" i="1"/>
  <c r="M26" i="1"/>
  <c r="L26" i="1"/>
  <c r="K26" i="1"/>
  <c r="J26" i="1"/>
  <c r="I26" i="1"/>
  <c r="H26" i="1"/>
  <c r="M23" i="1"/>
  <c r="L23" i="1"/>
  <c r="K23" i="1"/>
  <c r="J23" i="1"/>
  <c r="I23" i="1"/>
  <c r="H23" i="1"/>
  <c r="M22" i="1"/>
  <c r="L22" i="1"/>
  <c r="K22" i="1"/>
  <c r="J22" i="1"/>
  <c r="I22" i="1"/>
  <c r="H22" i="1"/>
  <c r="M21" i="1"/>
  <c r="L21" i="1"/>
  <c r="K21" i="1"/>
  <c r="J21" i="1"/>
  <c r="I21" i="1"/>
  <c r="H21" i="1"/>
  <c r="M20" i="1"/>
  <c r="L20" i="1"/>
  <c r="K20" i="1"/>
  <c r="J20" i="1"/>
  <c r="I20" i="1"/>
  <c r="H20" i="1"/>
  <c r="M18" i="1"/>
  <c r="L18" i="1"/>
  <c r="K18" i="1"/>
  <c r="J18" i="1"/>
  <c r="I18" i="1"/>
  <c r="H18" i="1"/>
</calcChain>
</file>

<file path=xl/comments1.xml><?xml version="1.0" encoding="utf-8"?>
<comments xmlns="http://schemas.openxmlformats.org/spreadsheetml/2006/main">
  <authors>
    <author>Автор</author>
  </authors>
  <commentList>
    <comment ref="B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включая бюджет Орловской области
</t>
        </r>
      </text>
    </comment>
    <comment ref="F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+площ.1530кв.м площадь по Калинникова</t>
        </r>
      </text>
    </comment>
    <comment ref="I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146 тысяч это разница между 300-500 лимитов
</t>
        </r>
      </text>
    </comment>
    <comment ref="J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2 293,87169 ограждения мост Дружба ГОРОД
минус кредиторка
42 906 060,61 по РАСПОРЯЖЕНИЮ ОБЛАСТИ ДОП на Содержание (САБ)
</t>
        </r>
      </text>
    </comment>
    <comment ref="I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675,88936</t>
        </r>
      </text>
    </comment>
    <comment ref="J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2005,200-дор.фонд на Калинникова с МП 2 на МП 1 в ямочный ремонт</t>
        </r>
      </text>
    </comment>
    <comment ref="I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факту, 
28 ед.</t>
        </r>
      </text>
    </comment>
    <comment ref="J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 ед.</t>
        </r>
      </text>
    </comment>
    <comment ref="I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8185,81010;
11 313 сняты в пользу остановок;
забрали только 5205,840 Заречка</t>
        </r>
      </text>
    </comment>
    <comment ref="J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25 000-камеры 170шт.+ПО
2 708,102 и 2 876,648 на светофоры Пионерская
6 437,0173 информационная безопасность (ФСБ)</t>
        </r>
      </text>
    </comment>
    <comment ref="K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городские деньги, сумма по контракту</t>
        </r>
      </text>
    </comment>
    <comment ref="I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777,70869 сняты в пользу остановок на регламентные 
(12 090,840 руб.)</t>
        </r>
      </text>
    </comment>
    <comment ref="J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14000-освещение подмостовых пространств
+Зеленстрой
+ освещение к подходам мостов
</t>
        </r>
      </text>
    </commen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мосты по факту: Ботаника, Костамаровский и вантовый на Горького</t>
        </r>
      </text>
    </comment>
    <comment ref="K34" authorId="0">
      <text>
        <r>
          <rPr>
            <b/>
            <sz val="9"/>
            <color indexed="81"/>
            <rFont val="Tahoma"/>
            <family val="2"/>
            <charset val="204"/>
          </rPr>
          <t>Автор:
89 172,44936-кред.задолженность САБ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перильные ограждения</t>
        </r>
      </text>
    </comment>
    <comment ref="I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цифра по экспертизе
12 505,79 ФАКТ 2022 года</t>
        </r>
      </text>
    </commen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асфальт по протяженности 970 метров, две полосы в одну сторону</t>
        </r>
      </text>
    </comment>
    <comment ref="G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протяженность первого этапа</t>
        </r>
      </text>
    </comment>
    <comment ref="I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перенесено в незадействованный остаток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1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проезжая часть</t>
        </r>
      </text>
    </comment>
    <comment ref="B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решение суда</t>
        </r>
      </text>
    </comment>
    <comment ref="I1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две КС
7273,870798 оплачено
12 млн. оплачено</t>
        </r>
      </text>
    </comment>
    <comment ref="I1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тротуары МОПРа+ул.Генерала армии Ковалева+БШ 2 этап оплаченная КС
</t>
        </r>
      </text>
    </comment>
    <comment ref="I1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минус общая сумма по светофорам;
минус 7962,80067 по распоряжению 935-р от 29.11.2022 на регламентные МП 1
1052,43926 ФАКТ ПСД</t>
        </r>
      </text>
    </comment>
    <comment ref="J1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тротуары по ул.Революции №29</t>
        </r>
      </text>
    </comment>
    <comment ref="I1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Тургеневский мост
ул.Мостовая
Генерала Родина
Наугорское шоссе
Кромской прое;зд
ул.Базовая
перенесены 15 000,00 тыс.рублей устройство остановочных павильонов</t>
        </r>
      </text>
    </comment>
    <comment ref="J1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контракту
</t>
        </r>
      </text>
    </comment>
    <comment ref="F1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цифру дал Митряев</t>
        </r>
      </text>
    </comment>
    <comment ref="I1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КЗ 173 595,14 руб.</t>
        </r>
      </text>
    </comment>
    <comment ref="B1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B1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  <comment ref="I1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сняли с освещения Молдавки</t>
        </r>
      </text>
    </comment>
    <comment ref="J1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двигали деньги
</t>
        </r>
      </text>
    </comment>
    <comment ref="K2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было город.доли</t>
        </r>
      </text>
    </comment>
    <comment ref="J2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Департамента от 09.01.2023 исх.5-1-15 (вх.44)</t>
        </r>
      </text>
    </comment>
    <comment ref="J2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ОМЗ, законтрактовано на 25тысяч меньше, отзыв</t>
        </r>
      </text>
    </comment>
    <comment ref="I2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1779 это деньги город с Красного моста
400-нанесение дорож.разметки в МП 4
800-на светофор Генерала Родина и Труд.резервы 
890,984-разница с ул.Генерала Ковалева по факту  под контракт
1361,583 под контракт ФАКТ</t>
        </r>
      </text>
    </comment>
    <comment ref="L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письмо ОМЗ от 26.05.2023 определена пред.стоимость объекта 25,35 млн  руб.</t>
        </r>
      </text>
    </comment>
    <comment ref="I2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размер межбюдж.трансферта по соглашению</t>
        </r>
      </text>
    </comment>
    <comment ref="J23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ДОП.фед.денег по письму от 12.10.2023 50+665,5328</t>
        </r>
      </text>
    </comment>
    <comment ref="I2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увеличение по сз от 21.10.2022 № 4463 ОМЗ</t>
        </r>
      </text>
    </comment>
    <comment ref="J23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согласно распоряжению от 25.01.2023 №40-р доведены лимиты в размере 1 036 243,5
Согласно письму от 12.10.2023 областные деньги замещаются федеральными </t>
        </r>
      </text>
    </comment>
    <comment ref="K23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распоряжение от 29.06.2023 №415-р
часть суммы перенесли на 2023 год по согласованию с Субботиным
80 143,19533 по Доп.соглашению №1
по письму от 12.10.2023 2024 год снимают</t>
        </r>
      </text>
    </comment>
    <comment ref="I2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5134,7-городские деньги на Красный мост, софинансирование 1%, довели больше
461,87354 город.доля по распоряжению </t>
        </r>
      </text>
    </comment>
    <comment ref="J2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1% софинанс города</t>
        </r>
      </text>
    </comment>
    <comment ref="G2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
</t>
        </r>
      </text>
    </comment>
    <comment ref="J2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G2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2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B2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дорога дублер</t>
        </r>
      </text>
    </comment>
    <comment ref="K2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10463 сняли с МП 8 на проезды по МП 2</t>
        </r>
      </text>
    </comment>
    <comment ref="K25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 млн были доведены распоряжением ранее 80-р</t>
        </r>
      </text>
    </comment>
    <comment ref="F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цифру дал Митряев</t>
        </r>
      </text>
    </comment>
    <comment ref="K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перенесли с МП 3 на МП 8</t>
        </r>
      </text>
    </comment>
    <comment ref="B2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обе стороны
</t>
        </r>
      </text>
    </comment>
    <comment ref="J2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доведены ЛБО в размере 25 млн.рублей, на оплату 50% объектов 2023 года</t>
        </r>
      </text>
    </comment>
    <comment ref="K2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распоряжению 101-р от 19.02.2024 доведены ЛБО в размере 25 млн.рублей, на оплату 50% объектов 2023 года</t>
        </r>
      </text>
    </comment>
    <comment ref="B3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обустройство велодорожек</t>
        </r>
      </text>
    </comment>
    <comment ref="I39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вернули светофоры на МП 8 + хвостик в размере 1 271 тыс.рублей
18 021,04791-остаток от Пионерской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340 на дооборудование светофорных объектов 4 шт.</t>
        </r>
      </text>
    </comment>
    <comment ref="G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837,14223-валка деревьев в городских условиях
2 938,86994-текущий ремонт клумб по ул. Ленина
1 163,32-демонтаж пешеходных ограждений
1142,196-установка системы видеонаблюдения Dahua на мостах
876-разработка планов ОТИ
174,27276-тех.присоединение к эл.сетям
300-круглосуточная охрана моста "Красный"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ямочный ремонт</t>
        </r>
      </text>
    </comment>
    <comment ref="G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153,9846-аренда опор
50,00 экспертиза соответствия выполненных работ техническому заданию МК и локальному проекту ИТС Орловской городской агломерации</t>
        </r>
      </text>
    </comment>
    <comment ref="G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1300 городские
1% от общей 
суммы
ФАКТ 1052,43926 ПСД</t>
        </r>
      </text>
    </comment>
    <comment ref="F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95% софинансирование</t>
        </r>
      </text>
    </comment>
    <comment ref="B1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  <comment ref="F1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софинанс 5%
</t>
        </r>
      </text>
    </comment>
    <comment ref="F1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Жиляева проектирование Лужков
</t>
        </r>
      </text>
    </comment>
    <comment ref="C1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40 млн ДОПА на остановки 4 500</t>
        </r>
      </text>
    </comment>
    <comment ref="C1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2293,87169 сумма по смете</t>
        </r>
      </text>
    </comment>
    <comment ref="C1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вх.21226 от 21.12.2022 доведено 900 млн.руб. </t>
        </r>
      </text>
    </comment>
    <comment ref="B1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перильные ограждения</t>
        </r>
      </text>
    </comment>
    <comment ref="B1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проезжая часть</t>
        </r>
      </text>
    </comment>
    <comment ref="B1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C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ОМЗ, заключены контракта</t>
        </r>
      </text>
    </comment>
    <comment ref="C2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САБ</t>
        </r>
      </text>
    </comment>
    <comment ref="B2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САБ
</t>
        </r>
      </text>
    </comment>
    <comment ref="B2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ОМЗ</t>
        </r>
      </text>
    </comment>
    <comment ref="B3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  <comment ref="B4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сфетофоры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Площадь МП 2 + МП 3 +МП 8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D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под частный сектор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Протяженность за 2022 по МП2 + МП3
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A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светофоры</t>
        </r>
      </text>
    </comment>
    <comment ref="A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ИКСИС
</t>
        </r>
      </text>
    </comment>
  </commentList>
</comments>
</file>

<file path=xl/comments7.xml><?xml version="1.0" encoding="utf-8"?>
<comments xmlns="http://schemas.openxmlformats.org/spreadsheetml/2006/main">
  <authors>
    <author>Автор</author>
  </authors>
  <commentList>
    <comment ref="F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включая кредит.задолженность 1557 млн.</t>
        </r>
      </text>
    </comment>
  </commentList>
</comments>
</file>

<file path=xl/sharedStrings.xml><?xml version="1.0" encoding="utf-8"?>
<sst xmlns="http://schemas.openxmlformats.org/spreadsheetml/2006/main" count="1481" uniqueCount="879">
  <si>
    <t>Цели, задачи, мероприятия, показатели</t>
  </si>
  <si>
    <t>Ответственный исполнитель</t>
  </si>
  <si>
    <t>Срок</t>
  </si>
  <si>
    <t>начала реализации</t>
  </si>
  <si>
    <t>Результат</t>
  </si>
  <si>
    <t>Объемы финансирования, тыс.руб.</t>
  </si>
  <si>
    <t>2022 год</t>
  </si>
  <si>
    <t>Программная составляющая, всего</t>
  </si>
  <si>
    <t>источники финансирования</t>
  </si>
  <si>
    <t>средства Дорожного фонда Орловской области</t>
  </si>
  <si>
    <t>бюджет города Орла</t>
  </si>
  <si>
    <t>Устройство новых, реконструкция, дооборудование существующих линий электроосвещения в пределах улично-дорожной сети на территории МО "Город Орел"</t>
  </si>
  <si>
    <t>Устройство интеллектуальных транспортных систем по организации дорожного движения в городе Орле в рамках реализации регионального проекта "Программа комплексного развития объединенной дорожной сети Орловской области, а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</si>
  <si>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</si>
  <si>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и качественные автомобильные дороги"</t>
  </si>
  <si>
    <t>Ремонт автомобильных дорог общего пользования местного значения и искусственных сооружений на них</t>
  </si>
  <si>
    <t>источники финансирования:</t>
  </si>
  <si>
    <t>окончания реализации</t>
  </si>
  <si>
    <t>2023 год</t>
  </si>
  <si>
    <t>2024 год</t>
  </si>
  <si>
    <t>2025 год</t>
  </si>
  <si>
    <t>2026 год</t>
  </si>
  <si>
    <t>регламентные работы;</t>
  </si>
  <si>
    <t>восстановление верхних слоев дорожной одежды;</t>
  </si>
  <si>
    <t>внедрение интеллектуальной  системы управления транспортными потоками</t>
  </si>
  <si>
    <t>содержание искусственных дорожных  сооружений на автомобильных дорогах общего пользования</t>
  </si>
  <si>
    <t>кредиторская задолженность предыдущих лет</t>
  </si>
  <si>
    <t>разработка проектно-сметной документации и проведение проверки достоверности сметной стоимости</t>
  </si>
  <si>
    <t>незадействованный остаток</t>
  </si>
  <si>
    <t>ул. Максима Горького</t>
  </si>
  <si>
    <t>ул. Ломоносова</t>
  </si>
  <si>
    <t>незадействованый остаток</t>
  </si>
  <si>
    <t>установка пешеходных ограждений</t>
  </si>
  <si>
    <t>установка дорожных знаков</t>
  </si>
  <si>
    <t>Разработка и внедрение интеллектуальной транспортной системы в рамках Орловской агломирации на базе муниципального образования "Город Орёл"</t>
  </si>
  <si>
    <t xml:space="preserve">    Приложение № 2</t>
  </si>
  <si>
    <t>Перечень</t>
  </si>
  <si>
    <t>№ п/п</t>
  </si>
  <si>
    <t>На именование объекта</t>
  </si>
  <si>
    <t xml:space="preserve">Ориентировочная стоимость, </t>
  </si>
  <si>
    <t>Иные межбюджетные трансферты</t>
  </si>
  <si>
    <t>Средства бюджета города Орла, тыс. руб.</t>
  </si>
  <si>
    <t>тыс. руб.</t>
  </si>
  <si>
    <t>1.  </t>
  </si>
  <si>
    <t>Содержание улично-дорожной сети города Орла</t>
  </si>
  <si>
    <t>1.1.</t>
  </si>
  <si>
    <t>1.2.</t>
  </si>
  <si>
    <t>1.3.</t>
  </si>
  <si>
    <t>1.4.</t>
  </si>
  <si>
    <t>1.5.</t>
  </si>
  <si>
    <t>2.</t>
  </si>
  <si>
    <t>Устройство (монтаж) средств организации и регулирования дорожного движения на автомобильных дорогах города Орёл</t>
  </si>
  <si>
    <t>4.1</t>
  </si>
  <si>
    <t>4.2</t>
  </si>
  <si>
    <t>4.3</t>
  </si>
  <si>
    <t>Разработка проектно-сметной документации и проведение проверки достоверности сметной стоимости</t>
  </si>
  <si>
    <t xml:space="preserve">Устройство интеллектуальных транспортных систем  по организации дорожного движения в городе Орле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и качественные автомобильные дороги»   </t>
  </si>
  <si>
    <t>2.1</t>
  </si>
  <si>
    <t>2.2</t>
  </si>
  <si>
    <t>2.3</t>
  </si>
  <si>
    <t>2.4</t>
  </si>
  <si>
    <t>2.5</t>
  </si>
  <si>
    <t>2.7</t>
  </si>
  <si>
    <t>2.8</t>
  </si>
  <si>
    <t>2.9</t>
  </si>
  <si>
    <t>2.10</t>
  </si>
  <si>
    <t>2.11</t>
  </si>
  <si>
    <t>2.12</t>
  </si>
  <si>
    <t>3.1.</t>
  </si>
  <si>
    <t>3.2.</t>
  </si>
  <si>
    <t>3.3.</t>
  </si>
  <si>
    <t>3.4.</t>
  </si>
  <si>
    <t>3.5.</t>
  </si>
  <si>
    <t>кредиторская задолженность 2021 года</t>
  </si>
  <si>
    <t xml:space="preserve"> </t>
  </si>
  <si>
    <t>кв.м/ед.</t>
  </si>
  <si>
    <t>Реконструкция "Красного моста" в г.Орле</t>
  </si>
  <si>
    <t>федеральный бюджет</t>
  </si>
  <si>
    <t>бюджет Орловской области</t>
  </si>
  <si>
    <t>Приложение №1</t>
  </si>
  <si>
    <t>к муниципальной программе</t>
  </si>
  <si>
    <t>"Комплексное развитие улично-дорожной сети</t>
  </si>
  <si>
    <t>города Орла на 2022-2026 годы"</t>
  </si>
  <si>
    <t>Перечень мероприятий муниципальной программы</t>
  </si>
  <si>
    <t>"Комплексное развитие улично-дорожной сети города Орла на 2022-2026 годы"</t>
  </si>
  <si>
    <t>330 пог.м</t>
  </si>
  <si>
    <t>200 шт.</t>
  </si>
  <si>
    <t>улично-дорожной сети города Орла на 2022-2026 годы»</t>
  </si>
  <si>
    <t>4.4</t>
  </si>
  <si>
    <t xml:space="preserve">    Приложение № 3</t>
  </si>
  <si>
    <t>№</t>
  </si>
  <si>
    <t>Наименование ожидаемого результата - конечного результата (индикатора)</t>
  </si>
  <si>
    <t>Ед.изм.</t>
  </si>
  <si>
    <t>Значение целевых показателей</t>
  </si>
  <si>
    <t>кв.м</t>
  </si>
  <si>
    <t>%</t>
  </si>
  <si>
    <t>объект</t>
  </si>
  <si>
    <t>Количество устроенных (смонтированных) средств организации и регулирования дорожного движения на автоомобильных дорогах города Орла</t>
  </si>
  <si>
    <t>Целевые показатели муниципальной программы</t>
  </si>
  <si>
    <t>города Орла на 2022-2026 годы»</t>
  </si>
  <si>
    <t>«Комплексное развитие улично-дорожной сети</t>
  </si>
  <si>
    <t xml:space="preserve">    Приложение № 4</t>
  </si>
  <si>
    <t>Ед. изм.</t>
  </si>
  <si>
    <t>Результат предоставления иного межбюджетного трансферта</t>
  </si>
  <si>
    <t>Доля протяженности автомобильных дорог общего пользования местного значения на территории г.Орла, соответствующих нормативным требованиям к транспортно-эксплуатационным показателям, в общей протяженности указанных автомобильных дорог</t>
  </si>
  <si>
    <t>км</t>
  </si>
  <si>
    <t>Прирост протяженности автомобильных дорог общего пользования местного значения на территории г.Орла в результате строительства новых автомобильных дорог</t>
  </si>
  <si>
    <t>Прирост протяженности автомобильных дорог общего пользования местного значения на территории г.Орла, соответствующих нормативных требованиям к транспортно-эксплутационным показателям, в результате капитального ремонта и ремонта автомобильных дорог</t>
  </si>
  <si>
    <t>Прирост протяженности автомобильных дорог общего пользования местного значения на территории г.Орла, соответствующих нормативных требованиям к транспортно-эксплутационным показателям, в результате реконструкции автомобильных дорог</t>
  </si>
  <si>
    <t>МП2</t>
  </si>
  <si>
    <t>МП3</t>
  </si>
  <si>
    <t>Плановые значения результатов предоставления иного межбюджетного трансферта на конец 2022</t>
  </si>
  <si>
    <t>2021 год (факт)</t>
  </si>
  <si>
    <r>
      <rPr>
        <b/>
        <sz val="12"/>
        <color rgb="FF000000"/>
        <rFont val="Times New Roman"/>
        <charset val="204"/>
      </rPr>
      <t>L общ.=461,3 км</t>
    </r>
    <r>
      <rPr>
        <sz val="12"/>
        <color rgb="FF000000"/>
        <rFont val="Times New Roman"/>
        <charset val="204"/>
      </rPr>
      <t xml:space="preserve"> - общая протяженность дорог общего пользования местного значения;</t>
    </r>
  </si>
  <si>
    <t xml:space="preserve">Количество устроенных средств организации и регулирования дорожного движения на автомобильных дорогах города Орла </t>
  </si>
  <si>
    <t>Примечание:</t>
  </si>
  <si>
    <t>Норматив предыдущего года + протяженность года по программе, нарастающим итогом</t>
  </si>
  <si>
    <r>
      <rPr>
        <b/>
        <sz val="12"/>
        <color rgb="FF000000"/>
        <rFont val="Times New Roman"/>
        <charset val="204"/>
      </rPr>
      <t>L норм.=</t>
    </r>
    <r>
      <rPr>
        <sz val="12"/>
        <color rgb="FF000000"/>
        <rFont val="Times New Roman"/>
        <charset val="204"/>
      </rPr>
      <t xml:space="preserve"> </t>
    </r>
    <r>
      <rPr>
        <b/>
        <sz val="12"/>
        <color rgb="FF000000"/>
        <rFont val="Times New Roman"/>
        <charset val="204"/>
      </rPr>
      <t>114,414 (норматив 2021 года)</t>
    </r>
    <r>
      <rPr>
        <sz val="12"/>
        <color rgb="FF000000"/>
        <rFont val="Times New Roman"/>
        <charset val="204"/>
      </rPr>
      <t>- протяженность дорог, отвечающих нормативным требованиям (с твердым покрытием).</t>
    </r>
  </si>
  <si>
    <t>норматив 2022 года</t>
  </si>
  <si>
    <t xml:space="preserve">снижение не  отвечающ.нормат.требованиям </t>
  </si>
  <si>
    <t xml:space="preserve">МП 2 2021 год </t>
  </si>
  <si>
    <t xml:space="preserve">МП 3 2021 год </t>
  </si>
  <si>
    <t xml:space="preserve"> 2020 год, км</t>
  </si>
  <si>
    <t>МП 2 2022 год</t>
  </si>
  <si>
    <t>МП 3 2022 год</t>
  </si>
  <si>
    <t>администрации города Орла</t>
  </si>
  <si>
    <t>Заместитель начальника  управления строительства,</t>
  </si>
  <si>
    <t>дорожного хозяйства и благоустройства</t>
  </si>
  <si>
    <t>Н.С. Митряев</t>
  </si>
  <si>
    <t xml:space="preserve">Основное мероприятие 1. </t>
  </si>
  <si>
    <t xml:space="preserve">Основное мероприятие 2. </t>
  </si>
  <si>
    <t xml:space="preserve">Основное мероприятие 3. </t>
  </si>
  <si>
    <t xml:space="preserve">Основное мероприятие 4. </t>
  </si>
  <si>
    <t xml:space="preserve">Основное мероприятие 5. </t>
  </si>
  <si>
    <t>Всего</t>
  </si>
  <si>
    <t>к постановлению</t>
  </si>
  <si>
    <t xml:space="preserve">к приложению муниципальной программы
</t>
  </si>
  <si>
    <t>Площадь восстановленных верхних слоев дорожной одежды</t>
  </si>
  <si>
    <t>Строительство объектов УДС города Орла</t>
  </si>
  <si>
    <t>Карачевское шоссе, 1 этап</t>
  </si>
  <si>
    <t>Карачевское шоссе,  1 этап</t>
  </si>
  <si>
    <t>внедрение ИТС на территории города Орла</t>
  </si>
  <si>
    <t>Площадь отремонтированных объектов улично-дорожной сети города Орла</t>
  </si>
  <si>
    <t>Прирост протяженности автомобильных дорог общего пользования местного значения на территории г.Орла,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</si>
  <si>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 xml:space="preserve"> к муниципальной программе «Комплексное развитие 
</t>
  </si>
  <si>
    <t xml:space="preserve">к  муниципальной программе «Комплексное развитие 
</t>
  </si>
  <si>
    <t>разработка проекта организации дорожного движения по автомобильным дорогам города Орла</t>
  </si>
  <si>
    <t>внесение изменений в проект организации дорожного движения по автомобильным дорогам города Орла</t>
  </si>
  <si>
    <t>Содержание автомобильных дорог общего пользования местного значения и искусственных сооружений на них, приобретение дорожной техники, необходимой для содержания автомобильных дорог общего пользования местного значения</t>
  </si>
  <si>
    <t>(по источникам финансирования)</t>
  </si>
  <si>
    <t>объектов улично-дорожной сети для ремонта, предусмотренных Программой</t>
  </si>
  <si>
    <t>ул.Мостовая</t>
  </si>
  <si>
    <t>ул.Генерала Родина на участке от ул.Мостовой до ул.Веселой</t>
  </si>
  <si>
    <t>ремонт моста "Тургеневский" через р.Орлик</t>
  </si>
  <si>
    <t>ремонт пешеходных мостов</t>
  </si>
  <si>
    <t>1.6.</t>
  </si>
  <si>
    <t>восстановление электроосвещения ул.Генерала армии Ковалева</t>
  </si>
  <si>
    <t>1% город</t>
  </si>
  <si>
    <t>***</t>
  </si>
  <si>
    <t>2.1.</t>
  </si>
  <si>
    <t>2.2.</t>
  </si>
  <si>
    <t>2.3.</t>
  </si>
  <si>
    <t>2.4.</t>
  </si>
  <si>
    <t>2.6.</t>
  </si>
  <si>
    <t>2.7.</t>
  </si>
  <si>
    <t>2.8.</t>
  </si>
  <si>
    <t>2.9.</t>
  </si>
  <si>
    <t>ул.Березовая</t>
  </si>
  <si>
    <t>регламентные работы, в т.ч.</t>
  </si>
  <si>
    <t>содержание сети ливневой канализации в г. Орле</t>
  </si>
  <si>
    <t xml:space="preserve">проведение работ по содержанию остановочных павильонов общественного транспорта </t>
  </si>
  <si>
    <t>прочие работы (уборка, выпиловка деревьев,и т.д.)</t>
  </si>
  <si>
    <t>1.1.1.</t>
  </si>
  <si>
    <t>1.1.2.</t>
  </si>
  <si>
    <t>1.1.3.</t>
  </si>
  <si>
    <t>1.1.4.</t>
  </si>
  <si>
    <r>
      <t xml:space="preserve">внедрение интеллектуальной  системы управления транспортными потоками </t>
    </r>
    <r>
      <rPr>
        <sz val="12"/>
        <color rgb="FFFF0000"/>
        <rFont val="Times New Roman"/>
        <charset val="204"/>
      </rPr>
      <t xml:space="preserve">(оказание услуг фиксированной связи) </t>
    </r>
  </si>
  <si>
    <t>восстановление верхних слоев дорожной одежды</t>
  </si>
  <si>
    <t xml:space="preserve">выполнение работ по содержанию автомобильных дорог (объектов безопасности дорожного движения) </t>
  </si>
  <si>
    <t>4.5</t>
  </si>
  <si>
    <t>4.6</t>
  </si>
  <si>
    <t>Карачевское шоссе, 2 этап (на участке от ул.Мостовой до черты города)</t>
  </si>
  <si>
    <t>ул. Космонавтов</t>
  </si>
  <si>
    <t>Московское шоссе (от пер.Межевого до ул.Рощинской)</t>
  </si>
  <si>
    <t xml:space="preserve">Мероприятие 6. </t>
  </si>
  <si>
    <t>закупка дорожной техники</t>
  </si>
  <si>
    <t>Кромской проезд</t>
  </si>
  <si>
    <t>6.1.</t>
  </si>
  <si>
    <t xml:space="preserve">Основное мероприятие 7. </t>
  </si>
  <si>
    <t>1.7.</t>
  </si>
  <si>
    <t>Информация по кредиторской задолженности</t>
  </si>
  <si>
    <t>кредиторская задолженность предыдущих лет, в том числе:</t>
  </si>
  <si>
    <t>МУП Спецавтобаза регламентные работы</t>
  </si>
  <si>
    <t>Область</t>
  </si>
  <si>
    <t>Город</t>
  </si>
  <si>
    <t>ГорСтрой ул.МОПРа от ул.Комсомольской до ул.Маяковского</t>
  </si>
  <si>
    <t>Дорстрой Болховское шоссе (2 этап)</t>
  </si>
  <si>
    <t>СпецДорТех ул.Генерала Армии Ковалева от ул.Мостовой до ул.Емлютина</t>
  </si>
  <si>
    <t>РУСТЕХ устройство спец.тех.средств контроля и регулирования ПДД</t>
  </si>
  <si>
    <t>ул.Герцена ООО "Газ Ресурс"</t>
  </si>
  <si>
    <t xml:space="preserve">пер.Ипподромный </t>
  </si>
  <si>
    <t>4.7</t>
  </si>
  <si>
    <t>2.13</t>
  </si>
  <si>
    <t>2.15</t>
  </si>
  <si>
    <t>2.16</t>
  </si>
  <si>
    <t>Болховское шоссе (2 этап; кредиторская задолженность)</t>
  </si>
  <si>
    <t>1 ед.</t>
  </si>
  <si>
    <t>устройство (монтаж) недостающих средств организации и регулирования дорожного движения на пересечении ул.Советской и ул.Революции</t>
  </si>
  <si>
    <t>устройство (монтаж) недостающих средств организации и регулирования дорожного движения на пересечении ул.Михалицына с пер.Артельный</t>
  </si>
  <si>
    <t>устройство (монтаж) недостающих средств организации и регулирования дорожного движения в районе д.3а по ул.Металлургов</t>
  </si>
  <si>
    <t>5 ед.</t>
  </si>
  <si>
    <t>устройство (монтаж) недостающих средств организации и регулирования дорожного движения по ул.Паровозная в районе д.62, д.26, д.16А, д.4, д.14 (кредиторская задолженность)</t>
  </si>
  <si>
    <t>2.17</t>
  </si>
  <si>
    <t>2.18</t>
  </si>
  <si>
    <t>2.19</t>
  </si>
  <si>
    <t>4.8</t>
  </si>
  <si>
    <t>4.9</t>
  </si>
  <si>
    <t>4.10</t>
  </si>
  <si>
    <t>устройство (монтаж) недостающих средств организации и регулирования дорожного движения на пересечении ул.Советской и ул.Революции (кредиторская задолженность)</t>
  </si>
  <si>
    <t>устройство (монтаж) недостающих средств организации и регулирования дорожного движения на пересечении ул.Михалицына с пер.Артельный (кредиторская задолженность)</t>
  </si>
  <si>
    <t>устройство (монтаж) недостающих средств организации и регулирования дорожного движения в районе д.166 по Московскому шоссе (кредиторская задолженность)</t>
  </si>
  <si>
    <t>устройство (монтаж) недостающих средств организации и регулирования дорожного движения в районе д.3а по ул.Металлургов (кредиторская задолженность)</t>
  </si>
  <si>
    <t>устройство (монтаж) недостающих средств организации и регулирования дорожного движения ул.Матвеева в районе школы №36 (кредиторская задолженность)</t>
  </si>
  <si>
    <t>-</t>
  </si>
  <si>
    <t xml:space="preserve">внедрение интеллектуальной  системы управления транспортными потоками (оказание услуг фиксированной связи) </t>
  </si>
  <si>
    <t xml:space="preserve">ул.Базовая </t>
  </si>
  <si>
    <t>ул.Генерала Родина ООО "Газ Ресурс"</t>
  </si>
  <si>
    <t>ул.Октябрьская ООО "Газ Ресурс"</t>
  </si>
  <si>
    <t>пер.Ипподромный ООО "Газ Ресурс"</t>
  </si>
  <si>
    <t>Наименование мероприятий</t>
  </si>
  <si>
    <t>устройство специальных технических средств контроля соблюдений ПДД на нерегулируемом пешеходном переходе по ул.Комсомольская, 237 (объекты 2021 года)</t>
  </si>
  <si>
    <t>устройство специальных технических средств контроля соблюдений ПДД на нерегулируемом пешеходном переходе по ул.Карачевская, 61 (объекты 2021 года)</t>
  </si>
  <si>
    <t>устройство специальных технических средств контроля соблюдений ПДД на нерегулируемом пешеходном переходе по Кромское шоссе, 1 (объекты 2021 года)</t>
  </si>
  <si>
    <t>устройство специальных технических средств контроля соблюдений ПДД на нерегулируемом пешеходном переходе по Карачевское шоссе, 2 (объекты 2021 года)</t>
  </si>
  <si>
    <t>устройство специальных технических средств контроля соблюдений ПДД на нерегулируемом пешеходном переходе по ул.Ливенская, 48 (объекты 2021 года)</t>
  </si>
  <si>
    <t>устройство специальных технических средств контроля соблюдений ПДД на нерегулируемом пешеходном переходе по ул.Приборостроительная, 8 (объекты 2021 года)</t>
  </si>
  <si>
    <t>МП 2 2023 год</t>
  </si>
  <si>
    <t>МП 3 2023 год</t>
  </si>
  <si>
    <t>МП 2 2024 год</t>
  </si>
  <si>
    <t>МП 3 2024 год</t>
  </si>
  <si>
    <t>не отвечающие норм.требованиям, км на 2022 год</t>
  </si>
  <si>
    <t>не отвечающие норм.требованиям, км на 2021 год</t>
  </si>
  <si>
    <t>не отвечающие норм.требованиям, км на 2023 год</t>
  </si>
  <si>
    <t>не отвечающие норм.требованиям, км на 2024 год</t>
  </si>
  <si>
    <t>МП 1</t>
  </si>
  <si>
    <t>МП 2</t>
  </si>
  <si>
    <t>МП 3</t>
  </si>
  <si>
    <t>МП 4</t>
  </si>
  <si>
    <t>МП 5</t>
  </si>
  <si>
    <t>Строительство объекта "Линия искусственного электроосвещения по ул. Высоковольтная в г.Орле"</t>
  </si>
  <si>
    <t>Выполнение работ по разработке проектной и рабочей документации на строительство объекта "Линия искусственного электроосвещения по ул. Высоковольтная в г.Орле"</t>
  </si>
  <si>
    <t>восстановление уличного освещения по улице Спивака на участке от улицы Достоевского  до улицы Царев Брод</t>
  </si>
  <si>
    <t>восстановление уличного освещения по проезду вдоль Наугорского шоссе от магазина "Европа" до домов № 90-92</t>
  </si>
  <si>
    <t>устройство (монтаж) недостающих средств организации и регулирования дорожного движения в районе пересечения ул. Матросова с ул. Осипенко</t>
  </si>
  <si>
    <t>устройство (монтаж) недостающих средств организации и регулирования дорожного движения в районе дома 
№ 96 по Наугорскому шоссе</t>
  </si>
  <si>
    <t>устройство (монтаж) недостающих средств организации и регулирования дорожного движения в районе пересечения дома № 93 по ул. Максима Горького</t>
  </si>
  <si>
    <t xml:space="preserve">оплачено </t>
  </si>
  <si>
    <t>оплачено  8 837 345,46</t>
  </si>
  <si>
    <t>заявка передана в область 07 апреля на сумму 5 806 147,57 руб.</t>
  </si>
  <si>
    <t>не оплачено</t>
  </si>
  <si>
    <t xml:space="preserve">остаток Мегафон </t>
  </si>
  <si>
    <t>не оплачена часть</t>
  </si>
  <si>
    <t>оплатили 12 млн.</t>
  </si>
  <si>
    <t>10 миллионов на освещение</t>
  </si>
  <si>
    <t>Приложение № 1</t>
  </si>
  <si>
    <t>Приложение № 2</t>
  </si>
  <si>
    <t>Приложение № 3</t>
  </si>
  <si>
    <t xml:space="preserve">ул.Комсомольская в районе д. 95 </t>
  </si>
  <si>
    <t>лимиты области</t>
  </si>
  <si>
    <t>Наугорское шоссе от ул. Лескова до ул. Скворцова (1 этап от ул.Лескова до ул.Цветаева)</t>
  </si>
  <si>
    <t>4.11</t>
  </si>
  <si>
    <t>4.12</t>
  </si>
  <si>
    <t>4.13</t>
  </si>
  <si>
    <t>4.14</t>
  </si>
  <si>
    <t>4.15</t>
  </si>
  <si>
    <t>от длины улиц в км 2022-2023-2024-2025</t>
  </si>
  <si>
    <t>устройство (монтаж) недостающих средств организации и регулирования дорожного движения в районе пересечения ул.Маяковского - ул. Нормадия-Неман</t>
  </si>
  <si>
    <t>устройство (монтаж) недостающих средств организации и регулирования дорожного движения в районе пересечения ул. Комсомольская с ул. Нормандия-Неман</t>
  </si>
  <si>
    <t>устройство (монтаж) недостающих средств организации и регулирования дорожного движения в районе дома № 175 по  Московскому шоссе</t>
  </si>
  <si>
    <t>устройство (монтаж) недостающих средств организации и регулирования дорожного движения в районе пересечения ул.Тургенева - ул. Салтыкова-Щедрина</t>
  </si>
  <si>
    <t xml:space="preserve">устройство (монтаж) недостающих средств организации и регулирования дорожного движения в районе пересечения ул.Михалицина - пер.Керамический </t>
  </si>
  <si>
    <t>устройство (монтаж) недостающих средств организации и регулирования дорожного движения в районе дома № 1 по ул.Металлургов</t>
  </si>
  <si>
    <t>устройство (монтаж) недостающих средств организации и регулирования дорожного движения в районе пересечения ул.1-ая Курская - ул. Пушкина</t>
  </si>
  <si>
    <t>устройство (монтаж) недостающих средств организации и регулирования дорожного движения в районе дома № 151 по Московскому шоссе</t>
  </si>
  <si>
    <t>устройство (монтаж) недостающих средств организации и регулирования дорожного движения в районе пересечения ул.Мостовая - ул. Царев-Брод</t>
  </si>
  <si>
    <t>устройство (монтаж) недостающих средств организации и регулирования дорожного движения в районе дома № 1 по ул. Грузовая</t>
  </si>
  <si>
    <t>устройство (монтаж) недостающих средств организации и регулирования дорожного движения в районе дома №1 по ул.Металлургов</t>
  </si>
  <si>
    <t>устройство (монтаж) недостающих средств организации и регулирования дорожного движения в районе дома №151 по Московскому шоссе</t>
  </si>
  <si>
    <t>устройство (монтаж) недостающих средств организации и регулирования дорожного движения в районе дома №1 по ул. Грузовая</t>
  </si>
  <si>
    <t>устройство (монтаж) недостающих средств организации и регулирования дорожного движения в районе дома №175 по  Московскому шоссе</t>
  </si>
  <si>
    <t>ремонт Комсомольской площади в районе м-на "ГАММА" (ул. Комсомольская д.102)</t>
  </si>
  <si>
    <t>ул.Германо</t>
  </si>
  <si>
    <t>пер.Ремонтный до ул.Паровозная</t>
  </si>
  <si>
    <t xml:space="preserve">Основное мероприятие 8. </t>
  </si>
  <si>
    <t>Капитальный ремонт участков автомобильных дорог общего пользования местного значения в городе Орёл</t>
  </si>
  <si>
    <t xml:space="preserve">Выполнение работ по разработке проектной и рабочей документации на строительство объекта "Линия искусственного электроосвещения по ул. Высоковольтная в г.Орле" </t>
  </si>
  <si>
    <t>Капитальный ремонт улично-дорожной сети города Орла
по ул. Пионерская</t>
  </si>
  <si>
    <t>Капитальный ремонт улично-дорожной сети города Орла по ул. Деповская</t>
  </si>
  <si>
    <t>Капитальный ремонт улично-дорожной сети города Орла по ул. Кольцевая</t>
  </si>
  <si>
    <t xml:space="preserve">Капитальный ремонт улично-дорожной сети города Орла по пер.Почтовый от ул. Пролетарская Гора до д.16 </t>
  </si>
  <si>
    <t>Капитальный ремонт улично-дорожной сети города Орла по пер. Почтовый от д.6 до ул. Ленина</t>
  </si>
  <si>
    <t>ул.МОПРа (от ул.Комсомольская до спец.пожарно-спасательной части ФПС по Орловской области)</t>
  </si>
  <si>
    <t>обустройство остановки общественного транспорта по ул. Емлютина в районе дома 22; обустройство остановки общественного транспорта по ул. Зеленина в районе дома 4; обустройство остановки общественного транспорта по бул. Молодежи в районе дома 9; обустройство остановок общественного транспорта по ул. Высоковольтная (Сторожка); обустройство парковки для маршрутного транспорта по ул. Николая Сенина.</t>
  </si>
  <si>
    <t>устройство остановочных пунктов</t>
  </si>
  <si>
    <t>Капитальный ремонт улично-дорожной сети города Орла
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6, ул. Красноармейская от дома № 4 до дома № 6</t>
  </si>
  <si>
    <t>4.16</t>
  </si>
  <si>
    <t>4.17</t>
  </si>
  <si>
    <t>Ремонт ул.Комсомольская (элементы обустройства автомобильных дорог)</t>
  </si>
  <si>
    <t>Ремонт ул. Октябрьская (элементы обустройства автомобильных дорог)</t>
  </si>
  <si>
    <t>Ремонт ул. 60-летия Октября (элементы обустройства автомобильных дорог)</t>
  </si>
  <si>
    <t>4 ед.</t>
  </si>
  <si>
    <t>2.29</t>
  </si>
  <si>
    <t>Устройство наружного освещения по ул.Молдавская (1 этап)</t>
  </si>
  <si>
    <t>Восстановление электроосвещения ул.Генерала армии Ковалева</t>
  </si>
  <si>
    <t>7.1.</t>
  </si>
  <si>
    <t>8.1.</t>
  </si>
  <si>
    <t>8.3.</t>
  </si>
  <si>
    <t>8.2.</t>
  </si>
  <si>
    <t>8.4.</t>
  </si>
  <si>
    <t>МКУ "ОМЗ г.Орла"</t>
  </si>
  <si>
    <t xml:space="preserve">МКУ "ОМЗ г.Орла" </t>
  </si>
  <si>
    <t>установка дорожных знаков и нанесения дорожной разметки</t>
  </si>
  <si>
    <t>устройство (монтаж) недостающих средств организации и регулирования дорожного движения в районе пересечения ул.Трудовые резервы и ул. Генерала Родина</t>
  </si>
  <si>
    <t>Источники финансирования</t>
  </si>
  <si>
    <t>Федеральный бюджет</t>
  </si>
  <si>
    <t>Местный бюджет</t>
  </si>
  <si>
    <t>Сумма</t>
  </si>
  <si>
    <t>В том числе по годам</t>
  </si>
  <si>
    <t>ВСЕГО:</t>
  </si>
  <si>
    <t>тыс.рублей</t>
  </si>
  <si>
    <t>Областной бюджет</t>
  </si>
  <si>
    <t>Ремонт ул. Герцена (элементы обустройства автомобильных дорог)</t>
  </si>
  <si>
    <t>2 ед.</t>
  </si>
  <si>
    <t>Ремонт ул. Московская (элементы обустройства автомобильных дорог)</t>
  </si>
  <si>
    <t>Ремонт Московское шоссе (элементы обустройства автомобильных дорог)</t>
  </si>
  <si>
    <t>Ремонт ул. 5 Августа (элементы обустройства автомобильных дорог)</t>
  </si>
  <si>
    <t>3 ед.</t>
  </si>
  <si>
    <t>Ремонт ул. Горького (элементы обустройства автомобильных дорог)</t>
  </si>
  <si>
    <t>Ремонт ул. Пушкина (элементы обустройства автомобильных дорог)</t>
  </si>
  <si>
    <t>Ремонт ул. Лескова (элементы обустройства автомобильных дорог)</t>
  </si>
  <si>
    <t>Ремонт Новосильское шоссе (элементы обустройства автомобильных дорог)</t>
  </si>
  <si>
    <t>Ремонт Наугорское шоссе (элементы обустройства автомобильных дорог)</t>
  </si>
  <si>
    <t>Ремонт Карачевское шоссе (элементы обустройства автомобильных дорог)</t>
  </si>
  <si>
    <t>Ремонт ул. Ливенская (элементы обустройства автомобильных дорог)</t>
  </si>
  <si>
    <t>Ремонт пер.Маслозаводской (элементы обустройства автомобильных дорог)</t>
  </si>
  <si>
    <t>Ремонт ул. Металлургов (элементы обустройства автомобильных дорог)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</si>
  <si>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</si>
  <si>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</si>
  <si>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</si>
  <si>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</si>
  <si>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</si>
  <si>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</si>
  <si>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</si>
  <si>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</si>
  <si>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</si>
  <si>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2.30</t>
  </si>
  <si>
    <t>2.31</t>
  </si>
  <si>
    <t>2.33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</si>
  <si>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</si>
  <si>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</si>
  <si>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</si>
  <si>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</si>
  <si>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</si>
  <si>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</si>
  <si>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</si>
  <si>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</si>
  <si>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</si>
  <si>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</si>
  <si>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ВАРИАНТ 1 по факту МАИПа!!!</t>
  </si>
  <si>
    <t>ВАРИАНТ 2 от Далековой (Илья прислал по ватсапу)!!!</t>
  </si>
  <si>
    <t>ВАРИАНТ 3 Илья!</t>
  </si>
  <si>
    <t>Ремонт ул. Паровозная (элементы обустройства автомобильных дорог)</t>
  </si>
  <si>
    <t>*** с МП 8 на светофоры по факту</t>
  </si>
  <si>
    <t>Капитальный ремонт улично-дорожной сети города Орла по ул. Пионерская</t>
  </si>
  <si>
    <t>лимиты</t>
  </si>
  <si>
    <t xml:space="preserve">выполнение работ по содержанию автомобильных дорог (объектов БДД) </t>
  </si>
  <si>
    <t xml:space="preserve">ямочный ремонт </t>
  </si>
  <si>
    <t>МУП Спецавтобаза (регламентные работы+ямочный ремонт)</t>
  </si>
  <si>
    <t>МП 8</t>
  </si>
  <si>
    <t>Наименование мероприятия</t>
  </si>
  <si>
    <t>потребность</t>
  </si>
  <si>
    <t>факт на 11.10.22</t>
  </si>
  <si>
    <t>руб.</t>
  </si>
  <si>
    <t>4.1.</t>
  </si>
  <si>
    <t>лимиты 2023 года</t>
  </si>
  <si>
    <t>не мои деньги, но сидят в общей сумме</t>
  </si>
  <si>
    <t>ВЫЙТИ на эту сумму</t>
  </si>
  <si>
    <t>МП 1+МП 8</t>
  </si>
  <si>
    <t>светофоры, ремонт, кап.ремонт сидят по одной строке для области</t>
  </si>
  <si>
    <t>1.1.5.</t>
  </si>
  <si>
    <t>прокладка кабельной линии вдоль площади Богоявленского, Боговленского собора для проведения праздничных имероприятий на УДС                                                                  г. Орла</t>
  </si>
  <si>
    <t>прокладка кабельной линии вдоль площади Богоявленского, Боговленского собора для проведения праздничных имероприятий на УДС г. Орла</t>
  </si>
  <si>
    <t>тех.присоединение к эл.сетям</t>
  </si>
  <si>
    <t>Тех.присоединение к эл.сетям</t>
  </si>
  <si>
    <t>восстановление тротуаров в местах проведения работ по корчевке пней по г. Орле</t>
  </si>
  <si>
    <t>ремонт пешеходной зоны в р-не ул. Правый берег реки Орлик</t>
  </si>
  <si>
    <t>монтаж внешнего электроснабжения средств контроля соблюдения ПДД, согласно ТУ  7120 от 30.11.2021 г. (оплачено по счету № 2675 от 30.11.2021 г. в сумме 32787,18 руб.) - нерегулируемый пешеходный переход</t>
  </si>
  <si>
    <t>ремонт тротуара (схода) по ул. Московская, 29 со стороны ул. Революции (Решение Советского районного суда по делу № 2-570/2021)</t>
  </si>
  <si>
    <t xml:space="preserve">устройство пешеходной дорожки по ул. Матвеева в р-не школы № 36 </t>
  </si>
  <si>
    <t>поставка и установка  остановочного павильона на остановке общественного транспорта "Госуниверсистет"</t>
  </si>
  <si>
    <t>2.14</t>
  </si>
  <si>
    <t>2.32</t>
  </si>
  <si>
    <t>2.34</t>
  </si>
  <si>
    <t>2.45</t>
  </si>
  <si>
    <t>2.46</t>
  </si>
  <si>
    <t>2.47</t>
  </si>
  <si>
    <t>2.48</t>
  </si>
  <si>
    <t>артельный</t>
  </si>
  <si>
    <t>факт</t>
  </si>
  <si>
    <t>по области</t>
  </si>
  <si>
    <t>работы по монтажу дополнительного ограждения моста "Дружба"</t>
  </si>
  <si>
    <t>обустройство остановки общ. транспорта по ул. Емлютина в районе дома 22; обустройство остановки общественного транспорта по ул. Зеленина в районе дома 4; обустройство остановки общ. транспорта по бул. Молодежи в районе дома 9; обустройство остановок общественного транспорта по ул. Высоковольтная (Сторожка); обустройство парковки для маршрутного транспорта по ул. Николая Сенина.</t>
  </si>
  <si>
    <t>Капитальный ремонт улично-дорожной сети города Орла по ул. Энгельса</t>
  </si>
  <si>
    <t>ул.Комсомольская от Карачевского шоссе до Кромского шоссе (проезжая часть)</t>
  </si>
  <si>
    <t>подходы к мостам прошлого года!!!</t>
  </si>
  <si>
    <t xml:space="preserve">Восстановление уличного освещения по улице Кузнецова </t>
  </si>
  <si>
    <t>октябрьская на пересечении от приборостроительной до игнатьова (четная сторона)</t>
  </si>
  <si>
    <t>/км.м</t>
  </si>
  <si>
    <t>/км</t>
  </si>
  <si>
    <t xml:space="preserve">Площадь отремонтированных объектов УДС города Орла -                                                </t>
  </si>
  <si>
    <t>Восстановление электроосвещения на ул.Пионерская на пересечении с ул.Октябрьская в районе где фундаменталка</t>
  </si>
  <si>
    <t>аренда опор контактной сети, расположенных в полосе отвода улично-дорожной сети города Орла, для возможности крепления и подвешивания UTP. СИП, телекоммуникационных шкафов и камер видеонаблюдения</t>
  </si>
  <si>
    <t>8.5.</t>
  </si>
  <si>
    <t>4.2.</t>
  </si>
  <si>
    <t>4.3.</t>
  </si>
  <si>
    <r>
      <t>ремонт пешеходной дорожки от ул. Матвеева до лицея № 21 вдоль д. № 11а, 13а, 25 а по ул. Игнатова</t>
    </r>
    <r>
      <rPr>
        <b/>
        <sz val="13"/>
        <color rgb="FF000000"/>
        <rFont val="Times New Roman"/>
        <charset val="204"/>
      </rPr>
      <t xml:space="preserve"> </t>
    </r>
  </si>
  <si>
    <t>ул.Сурена-Шаумяна</t>
  </si>
  <si>
    <t>ул.1-ая Посадская от ул.Комсомольская до Тургеневского моста</t>
  </si>
  <si>
    <t>/кв.м</t>
  </si>
  <si>
    <t>лимиты 2025 года ПЛАН</t>
  </si>
  <si>
    <t>8.6.</t>
  </si>
  <si>
    <t>2.10.</t>
  </si>
  <si>
    <t>Капитальный ремонт улично-дорожной сети города Орла по ул.Беговая-ул.Благининой на участке от Московского шоссе до границы города Орла</t>
  </si>
  <si>
    <t>от ____________________ 202____ №___________</t>
  </si>
  <si>
    <t>от ________________202___ №___________</t>
  </si>
  <si>
    <t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качественные дороги"</t>
  </si>
  <si>
    <t>Ремонт, капитальный ремонт автомобильных дорог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качественные дороги»</t>
  </si>
  <si>
    <t xml:space="preserve">Устройство интеллектуальных транспортных систем  по организации дорожного движения в городе Орле в рамках реализации регионального проекта «Программа  комплексного развития объединенной дорожной сети Орловской области, а также Орловской городской агломерации на 2019–2024 годы» национального проекта «Безопасные качественные дороги»   </t>
  </si>
  <si>
    <t>восстановление существующего остановочного павильона на остановке общевенного транспорта "Сквер Гуртьева" по   ул. Октябрьская</t>
  </si>
  <si>
    <t xml:space="preserve">ремонт пешеходной дорожки от ул. Матвеева до лицея № 21 вдоль д. № 11а, 13а, 25 а по ул. Игнатова </t>
  </si>
  <si>
    <t>Капитальный ремонт улично-дорожной сети города Орла по ул. Полярная</t>
  </si>
  <si>
    <t>Капитальный ремонт автомобильной дороги ул.Комсомольская от Карачевского шоссе до Кромского шоссе (прилегающая территория)</t>
  </si>
  <si>
    <t>8.7.</t>
  </si>
  <si>
    <t>8.8.</t>
  </si>
  <si>
    <t>8.9.</t>
  </si>
  <si>
    <t>2.5.</t>
  </si>
  <si>
    <t>Ремонт участка в районе дома № 29 со стороны ул.Революции в городе Орле</t>
  </si>
  <si>
    <t>20 ед.</t>
  </si>
  <si>
    <t>Ремонт ул.Раздольная (элементы обустройства автомобильных дорог)</t>
  </si>
  <si>
    <t>Ремонт ул.Грузовая (элементы обустройства автомобильных дорог)</t>
  </si>
  <si>
    <t>Ремонт ул.Р.Люксембург (элементы обустройства автомобильных дорог)</t>
  </si>
  <si>
    <t>Ремонт Кромское шоссе (элементы обустройства автомобильных дорог)</t>
  </si>
  <si>
    <t>Ремонт ул.6-ой Орловской дивизии (элементы обустройства автомобильных дорог)</t>
  </si>
  <si>
    <t>Ремонт ул.МОПРа  (элементы обустройства автомобильных дорог)</t>
  </si>
  <si>
    <t>2.11.</t>
  </si>
  <si>
    <t>2.12.</t>
  </si>
  <si>
    <t>2.13.</t>
  </si>
  <si>
    <t>2.14.</t>
  </si>
  <si>
    <t>2.15.</t>
  </si>
  <si>
    <t>2.16.</t>
  </si>
  <si>
    <t>8.10.</t>
  </si>
  <si>
    <t>8.11.</t>
  </si>
  <si>
    <t>8.12.</t>
  </si>
  <si>
    <t>8.13.</t>
  </si>
  <si>
    <t>8.14.</t>
  </si>
  <si>
    <t>закупка дорожной техники (термос-бункер-1 ед., комбинированная дорожная машина-4 ед., грузовой автомобиль-2 ед., автогрейдер-1 ед.,лаповый снегопогрузчик-2 ед., шнекороторный снегоочиститель-1 ед., трактор-5 ед., фронтальный погрузчик-1 ед.)</t>
  </si>
  <si>
    <t>кредиторская задолженность предыдущих лет (объект 2022 года)</t>
  </si>
  <si>
    <t>Наименование объекта</t>
  </si>
  <si>
    <t>Ремонт ул.Городская (элементы обустройства автомобильных дорог)</t>
  </si>
  <si>
    <t>2.17.</t>
  </si>
  <si>
    <t>2.18.</t>
  </si>
  <si>
    <t>Ремонт ул.Полярная (элементы обустройства автомобильных дорог)</t>
  </si>
  <si>
    <t>2.19.</t>
  </si>
  <si>
    <t>2.20.</t>
  </si>
  <si>
    <t>ул.Раздольная от ул.Бурова до кольцевой развязки</t>
  </si>
  <si>
    <t>2.21.</t>
  </si>
  <si>
    <t>Капитальный ремонт улично-дорожной сети города Орла по ул.Колхозная (на участке от моста в створе ул.Колхозная до ул. Энгельса)</t>
  </si>
  <si>
    <t>2.22.</t>
  </si>
  <si>
    <t>Ремонт ул.1-я Курская (элементы обустройства автомобильных дорог)</t>
  </si>
  <si>
    <t>Ремонт ул. Садово-Пушкарная (сквер "Комсомольцев") (элементы обустройства автомобильных дорог)</t>
  </si>
  <si>
    <t>2.23.</t>
  </si>
  <si>
    <t>2.24.</t>
  </si>
  <si>
    <t>Ремонт ул. Скворцова (элементы обустройства автомобильных дорог)</t>
  </si>
  <si>
    <t>2.25.</t>
  </si>
  <si>
    <t>Ремонт ул. Поселковая (элементы обустройства автомобильных дорог)</t>
  </si>
  <si>
    <t>2.26.</t>
  </si>
  <si>
    <t>33 ед.</t>
  </si>
  <si>
    <t>ФАКТ</t>
  </si>
  <si>
    <t>ИТОГО:</t>
  </si>
  <si>
    <t xml:space="preserve">Снос опор </t>
  </si>
  <si>
    <t>Кредиторская задолженность</t>
  </si>
  <si>
    <t>СОГЛАШЕНИЕ</t>
  </si>
  <si>
    <t>Возврат ден.средств в Дор.фонд</t>
  </si>
  <si>
    <t>3.6.</t>
  </si>
  <si>
    <t>3.7.</t>
  </si>
  <si>
    <t>Ремонт ул. Цветаева (элементы обустройства автомобильных дорог)</t>
  </si>
  <si>
    <t>Ремонт пл.Комсомольская (элементы обустройства автомобильных дорог)</t>
  </si>
  <si>
    <t>30 ед.</t>
  </si>
  <si>
    <t>10 ед.</t>
  </si>
  <si>
    <t>Ремонт Старомосковское шоссе (элементы обустройства автомобильных дорог)</t>
  </si>
  <si>
    <t>Ремонт ул.Игнатова (элементы обустройства автомобильных дорог)</t>
  </si>
  <si>
    <t>Ремонт пл.Богоявленской (элементы обустройства автомобильных дорог)</t>
  </si>
  <si>
    <t>Ремонт ул.Гуртьева (элементы обустройства автомобильных дорог)</t>
  </si>
  <si>
    <t>7 ед.</t>
  </si>
  <si>
    <t>Ремонт ул.Левый Берег реки Орлик "ТРУД" (элементы обустройства автомобильных дорог)</t>
  </si>
  <si>
    <t>2.27.</t>
  </si>
  <si>
    <t>2.28.</t>
  </si>
  <si>
    <t>2.29.</t>
  </si>
  <si>
    <t>2.30.</t>
  </si>
  <si>
    <t>2.31.</t>
  </si>
  <si>
    <t>2.32.</t>
  </si>
  <si>
    <t>2.33.</t>
  </si>
  <si>
    <t>плюс по ул.Калинникова перенос 2005,2</t>
  </si>
  <si>
    <t>средства бюджетного кредита</t>
  </si>
  <si>
    <t>Средства бюджетного кредита</t>
  </si>
  <si>
    <t>Ремонт улично-дорожной сети города Орла: ул.Бурова</t>
  </si>
  <si>
    <t>тыс.руб.</t>
  </si>
  <si>
    <t>ЛБО</t>
  </si>
  <si>
    <t>Средства бюджетного кредита нац.проект БКД</t>
  </si>
  <si>
    <t>МП 7</t>
  </si>
  <si>
    <t>Примечание</t>
  </si>
  <si>
    <t>Распределение бюджетных ассигнований Дорожного фонда Орловской областипо состоянию на 02.08.2023</t>
  </si>
  <si>
    <t>это ДОП на САБ</t>
  </si>
  <si>
    <t>Капитальный ремонт автомобильных дорог города Орла на улицах частной жилой застройки: ул. Контактная</t>
  </si>
  <si>
    <t>Капитальный ремонт автомобильных дорог города Орла на улицах частной жилой застройки: пер. Тепловозный</t>
  </si>
  <si>
    <t>Капитальный ремонт автомобильных дорог города Орла на улицах частной жилой застройки: ул. Полтавская</t>
  </si>
  <si>
    <t>Капитальный ремонт автомобильных дорог города Орла на улицах частной жилой застройки: ул. Андриабужная</t>
  </si>
  <si>
    <t>Капитальный ремонт автомобильных дорог города Орла на улицах частной жилой застройки: пер. Самарский</t>
  </si>
  <si>
    <t>Капитальный ремонт автомобильных дорог города Орла на улицах частной жилой застройки: ул. Крестьянская</t>
  </si>
  <si>
    <t>Капитальный ремонт автомобильных дорог города Орла на улицах частной жилой застройки: ул. Пришвина</t>
  </si>
  <si>
    <t>Капитальный ремонт автомобильных дорог города Орла на улицах частной жилой застройки: ул. Электровозная</t>
  </si>
  <si>
    <t>Капитальный ремонт автомобильных дорог города Орла на улицах частной жилой застройки: туп. Медведевский</t>
  </si>
  <si>
    <t>Капитальный ремонт автомобильных дорог города Орла на улицах частной жилой застройки: пер. Торцовый</t>
  </si>
  <si>
    <t>Капитальный ремонт автомобильных дорог города Орла на улицах частной жилой застройки: пер. Шахматный</t>
  </si>
  <si>
    <t>Капитальный ремонт автомобильных дорог города Орла на улицах частной жилой застройки: пер. Прядильный</t>
  </si>
  <si>
    <t>Капитальный ремонт автомобильных дорог города Орла на улицах частной жилой застройки: пер. Локомотивный</t>
  </si>
  <si>
    <t>Капитальный ремонт автомобильных дорог города Орла на улицах частной жилой застройки: пер. Вагонный</t>
  </si>
  <si>
    <t>Капитальный ремонт автомобильных дорог города Орла на улицах частной жилой застройки: пер. Бригадный</t>
  </si>
  <si>
    <t>Капитальный ремонт автомобильных дорог города Орла на улицах частной жилой застройки: пер. Хлебный</t>
  </si>
  <si>
    <t>Капитальный ремонт автомобильных дорог города Орла на улицах частной жилой застройки: пер. Тупиковый</t>
  </si>
  <si>
    <t>Капитальный ремонт автомобильных дорог города Орла на улицах частной жилой застройки: ул. Ново-Прядильная</t>
  </si>
  <si>
    <t>Капитальный ремонт автомобильных дорог города Орла на улицах частной жилой застройки: пер. Пожарный</t>
  </si>
  <si>
    <t>Капитальный ремонт автомобильных дорог города Орла на улицах частной жилой застройки: ул. Белинского</t>
  </si>
  <si>
    <t>Капитальный ремонт автомобильных дорог города Орла на улицах частной жилой застройки: пер. Культурный</t>
  </si>
  <si>
    <t>Капитальный ремонт автомобильных дорог города Орла на улицах частной жилой застройки: ул.Заводская</t>
  </si>
  <si>
    <t>Капитальный ремонт автомобильных дорог города Орла на улицах частной жилой застройки: ул. 1 Пушкарная</t>
  </si>
  <si>
    <t>Капитальный ремонт автомобильных дорог города Орла на улицах частной жилой застройки: ул. 2 Пушкарная</t>
  </si>
  <si>
    <t>Капитальный ремонт автомобильных дорог города Орла на улицах частной жилой застройки: ул. Зеленый Берег</t>
  </si>
  <si>
    <t>Капитальный ремонт автомобильных дорог города Орла на улицах частной жилой застройки: наб. Есенина</t>
  </si>
  <si>
    <t>Капитальный ремонт автомобильных дорог города Орла на улицах частной жилой застройки: ул. Чапаева</t>
  </si>
  <si>
    <t>Капитальный ремонт автомобильных дорог города Орла на улицах частной жилой застройки: ул. Панчука</t>
  </si>
  <si>
    <t>Капитальный ремонт автомобильных дорог города Орла на улицах частной жилой застройки: ул. Достоевского</t>
  </si>
  <si>
    <t>Капитальный ремонт автомобильных дорог города Орла на улицах частной жилой застройки: ул. Циолковского</t>
  </si>
  <si>
    <t>Капитальный ремонт автомобильных дорог города Орла на улицах частной жилой застройки: ул. Андреева</t>
  </si>
  <si>
    <t>Капитальный ремонт автомобильных дорог города Орла на улицах частной жилой застройки: ул. Спивака</t>
  </si>
  <si>
    <t>Капитальный ремонт автомобильных дорог города Орла на улицах частной жилой застройки: ул. Чайкиной</t>
  </si>
  <si>
    <t>Капитальный ремонт автомобильных дорог города Орла на улицах частной жилой застройки: ул. Земнухова</t>
  </si>
  <si>
    <t>Капитальный ремонт автомобильных дорог города Орла на улицах частной жилой застройки: ул. Кошевого</t>
  </si>
  <si>
    <t>Капитальный ремонт автомобильных дорог города Орла на улицах частной жилой застройки: ул. Тюленина</t>
  </si>
  <si>
    <t>Капитальный ремонт автомобильных дорог города Орла на улицах частной жилой застройки: ул. Громовой</t>
  </si>
  <si>
    <t>Капитальный ремонт автомобильных дорог города Орла на улицах частной жилой застройки: пер. Шевцовой</t>
  </si>
  <si>
    <t xml:space="preserve">Капитальный ремонт автомобильных дорог города Орла на улицах частной жилой застройки: ул. Островского </t>
  </si>
  <si>
    <t>Капитальный ремонт автомобильных дорог города Орла на улицах частной жилой застройки: ул. Моховая</t>
  </si>
  <si>
    <t>Капитальный ремонт автомобильных дорог города Орла на улицах частной жилой застройки: ул. Калужская</t>
  </si>
  <si>
    <t>Капитальный ремонт автомобильных дорог города Орла на улицах частной жилой застройки: ул. Восточная</t>
  </si>
  <si>
    <t>Капитальный ремонт автомобильных дорог города Орла на улицах частной жилой застройки: ул. Ольховецкая</t>
  </si>
  <si>
    <t>Капитальный ремонт автомобильных дорог города Орла на улицах частной жилой застройки: ул. Шульгина 2 этап</t>
  </si>
  <si>
    <t>Капитальный ремонт автомобильных дорог города Орла на улицах частной жилой застройки: ул. Придорожная</t>
  </si>
  <si>
    <t>Капитальный ремонт автомобильных дорог города Орла на улицах частной жилой застройки: ул. Мебельная</t>
  </si>
  <si>
    <t>Капитальный ремонт автомобильных дорог города Орла на улицах частной жилой застройки: пер. Краснозоренский</t>
  </si>
  <si>
    <t>Капитальный ремонт автомобильных дорог города Орла на улицах частной жилой застройки: пер. Столярный</t>
  </si>
  <si>
    <t>Капитальный ремонт автомобильных дорог города Орла на улицах частной жилой застройки: ул. Благининой</t>
  </si>
  <si>
    <t>Капитальный ремонт автомобильных дорог города Орла на улицах частной жилой застройки: ул. Надежды</t>
  </si>
  <si>
    <t>Капитальный ремонт автомобильных дорог города Орла на улицах частной жилой застройки: ул. Сечкина</t>
  </si>
  <si>
    <t>Капитальный ремонт автомобильных дорог города Орла на улицах частной жилой застройки: пер. Сечкина</t>
  </si>
  <si>
    <t>Капитальный ремонт автомобильных дорог города Орла на улицах частной жилой застройки: ул. Героев Чекистов</t>
  </si>
  <si>
    <t>Капитальный ремонт автомобильных дорог города Орла на улицах частной жилой застройки: ул. Героев Милиционеров</t>
  </si>
  <si>
    <t>Капитальный ремонт автомобильных дорог города Орла на улицах частной жилой застройки: ул.Турбина</t>
  </si>
  <si>
    <t>Капитальный ремонт автомобильных дорог города Орла на улицах частной жилой застройки: ул.Кривцова</t>
  </si>
  <si>
    <t>Капитальный ремонт автомобильных дорог города Орла на улицах частной жилой застройки: пер.Приокский-ул.Отрадная</t>
  </si>
  <si>
    <t>Капитальный ремонт автомобильных дорог города Орла на улицах частной жилой застройки: ул.Приокская</t>
  </si>
  <si>
    <t>Капитальный ремонт автомобильных дорог города Орла на улицах частной жилой застройки: пер.Городской</t>
  </si>
  <si>
    <t>Капитальный ремонт автомобильных дорог города Орла на улицах частной жилой застройки: ул.Скульптурная</t>
  </si>
  <si>
    <t>Капитальный ремонт автомобильных дорог города Орла на улицах частной жилой застройки: ул.Линейная</t>
  </si>
  <si>
    <t>Капитальный ремонт автомобильных дорог города Орла на улицах частной жилой застройки: ул.Менделеева</t>
  </si>
  <si>
    <t>Капитальный ремонт автомобильных дорог города Орла на улицах частной жилой застройки: ул.Степная</t>
  </si>
  <si>
    <t>Капитальный ремонт автомобильных дорог города Орла на улицах частной жилой застройки: ул.Яблочная</t>
  </si>
  <si>
    <t>Капитальный ремонт автомобильных дорог города Орла на улицах частной жилой застройки: пер.Половецкий</t>
  </si>
  <si>
    <t>Капитальный ремонт автомобильных дорог города Орла на улицах частной жилой застройки: ул.Серпуховская</t>
  </si>
  <si>
    <t>Капитальный ремонт автомобильных дорог города Орла на улицах частной жилой застройки: ул.Елецкая</t>
  </si>
  <si>
    <t>Капитальный ремонт автомобильных дорог города Орла на улицах частной жилой застройки: ул.Мичурина</t>
  </si>
  <si>
    <t>Капитальный ремонт автомобильных дорог города Орла на улицах частной жилой застройки: ул.Радищева</t>
  </si>
  <si>
    <t>Капитальный ремонт автомобильных дорог города Орла на улицах частной жилой застройки: ул. 3 Курская от ул. Магазинной до дома 94</t>
  </si>
  <si>
    <t>Капитальный ремонт автомобильных дорог города Орла на улицах частной жилой застройки: ул. Полигонная</t>
  </si>
  <si>
    <t>Капитальный ремонт автомобильных дорог города Орла на улицах частной жилой застройки: ул. Дружбы</t>
  </si>
  <si>
    <t>Капитальный ремонт автомобильных дорог города Орла на улицах частной жилой застройки: пер. Ковыльный</t>
  </si>
  <si>
    <t>Капитальный ремонт автомобильных дорог города Орла на улицах частной жилой застройки: пер. Лужковский</t>
  </si>
  <si>
    <t>Капитальный ремонт автомобильных дорог города Орла на улицах частной жилой застройки: пер. Менделеева</t>
  </si>
  <si>
    <t>Капитальный ремонт автомобильных дорог города Орла на улицах частной жилой застройки: пер. Еловый</t>
  </si>
  <si>
    <t>Капитальный ремонт автомобильных дорог города Орла на улицах частной жилой застройки: ул. Светлая</t>
  </si>
  <si>
    <t>Капитальный ремонт автомобильных дорог города Орла на улицах частной жилой застройки: пер. Грибной</t>
  </si>
  <si>
    <t>Капитальный ремонт автомобильных дорог города Орла на улицах частной жилой застройки: ул. Заречная</t>
  </si>
  <si>
    <t>Капитальный ремонт автомобильных дорог города Орла на улицах частной жилой застройки: ул. Афонина</t>
  </si>
  <si>
    <t>Капитальный ремонт автомобильных дорог города Орла на улицах частной жилой застройки: пер. Отрадный</t>
  </si>
  <si>
    <t>Капитальный ремонт автомобильных дорог города Орла на улицах частной жилой застройки: ул. Пойменная 1 этап</t>
  </si>
  <si>
    <t>Капитальный ремонт автомобильных дорог города Орла на улицах частной жилой застройки: ул. Пойменная 2 этап</t>
  </si>
  <si>
    <t>Капитальный ремонт автомобильных дорог города Орла на улицах частной жилой застройки: пер. Преображенского</t>
  </si>
  <si>
    <t>Капитальный ремонт автомобильных дорог города Орла на улицах частной жилой застройки: ул. Радужная</t>
  </si>
  <si>
    <t>Капитальный ремонт автомобильных дорог города Орла на улицах частной жилой застройки: пер. Скульптурный</t>
  </si>
  <si>
    <t>Капитальный ремонт автомобильных дорог города Орла на улицах частной жилой застройки: пер. Лебединый</t>
  </si>
  <si>
    <t>Капитальный ремонт автомобильных дорог города Орла на улицах частной жилой застройки: пер. Проходной</t>
  </si>
  <si>
    <t>Капитальный ремонт автомобильных дорог города Орла на улицах частной жилой застройки: пер. Заливной</t>
  </si>
  <si>
    <t>Капитальный ремонт автомобильных дорог города Орла на улицах частной жилой застройки: ул. Преображенского</t>
  </si>
  <si>
    <t>Капитальный ремонт автомобильных дорог города Орла на улицах частной жилой застройки: пер. Донской</t>
  </si>
  <si>
    <t>Капитальный ремонт автомобильных дорог города Орла на улицах частной жилой застройки: туп. Стеклянный</t>
  </si>
  <si>
    <t>Капитальный ремонт автомобильных дорог города Орла на улицах частной жилой застройки: пер. Стеклянный</t>
  </si>
  <si>
    <t>Капитальный ремонт автомобильных дорог города Орла на улицах частной жилой застройки: пер. Игрушечный</t>
  </si>
  <si>
    <t>Капитальный ремонт автомобильных дорог города Орла на улицах частной жилой застройки: туп. Линейный</t>
  </si>
  <si>
    <t>Капитальный ремонт автомобильных дорог города Орла на улицах частной жилой застройки: ул. Чкалова</t>
  </si>
  <si>
    <t>Капитальный ремонт автомобильных дорог города Орла на улицах частной жилой застройки: ул. Лесопильная</t>
  </si>
  <si>
    <t>Капитальный ремонт автомобильных дорог города Орла на улицах частной жилой застройки: ул. Деревообделочная</t>
  </si>
  <si>
    <t>Капитальный ремонт автомобильных дорог города Орла на улицах частной жилой застройки: ул. Высокая</t>
  </si>
  <si>
    <t>Капитальный ремонт автомобильных дорог города Орла на улицах частной жилой застройки: ул. Полевая</t>
  </si>
  <si>
    <t>Капитальный ремонт автомобильных дорог города Орла на улицах частной жилой застройки: ул. Шульгина 1 этап</t>
  </si>
  <si>
    <t>Капитальный ремонт автомобильных дорог города Орла на улицах частной жилой застройки: пер. Кировский</t>
  </si>
  <si>
    <t>Капитальный ремонт автомобильных дорог города Орла на улицах частной жилой застройки: пер. Смоленский</t>
  </si>
  <si>
    <t>Капитальный ремонт автомобильных дорог города Орла на улицах частной жилой застройки: ул. Текстильная</t>
  </si>
  <si>
    <t>Капитальный ремонт автомобильных дорог города Орла на улицах частной жилой застройки: ул. Лазо</t>
  </si>
  <si>
    <t>Капитальный ремонт улично-дорожной сети города Орла: ул.Карачевская, ул.Гостиная, ул.Пушкина</t>
  </si>
  <si>
    <t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t>
  </si>
  <si>
    <t>Начальник  управления строительства,</t>
  </si>
  <si>
    <t>Начальник  управления строительства, дорожного хозяйства и благоустройства</t>
  </si>
  <si>
    <t>Капитальный ремонт автомобильной дороги города Орла по ул. Раздольная от Болховского шоссе до ул. Михалицына с территорией моста через р. Ока "Раздольный" и путепровода "378 км по ул. Михалицына"</t>
  </si>
  <si>
    <t>ремонт автомобильной дороги города Орла по ул. Раздольная от ул. Бурова до кольцевой развязки</t>
  </si>
  <si>
    <t>МКУ "ОМЗ г.Орла",                   МБУ "Спецавтобаза по  санитарной очистке города Орла"</t>
  </si>
  <si>
    <t>8.15.</t>
  </si>
  <si>
    <t>жд</t>
  </si>
  <si>
    <t>Капитальный ремонт автомобильной дороги города Орла по ул.Михалицына (прилегающая территория)</t>
  </si>
  <si>
    <t>сняли</t>
  </si>
  <si>
    <t>салтыкова-щедрина 24 год, не учтен перенос лимитов 2023 года</t>
  </si>
  <si>
    <t>Капитальный ремонт проезда к озеру Светлая жизнь</t>
  </si>
  <si>
    <t>уведомление бухгалтерии</t>
  </si>
  <si>
    <t>лимиты 2024 года</t>
  </si>
  <si>
    <t>7.5.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</si>
  <si>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</si>
  <si>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</si>
  <si>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</si>
  <si>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</si>
  <si>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</si>
  <si>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</si>
  <si>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</si>
  <si>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</si>
  <si>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нанесение дорожной разметки на ул. М. Горького, на участке дороги пл. Ленина до ул. 70 лет Октября (краска, не входящая в основной МК по БДД)</t>
  </si>
  <si>
    <t>монтаж внешнего электроснабжения средств контроля соблюдения ПДД, согласно ТУ  7120 от 30.11.2021 г. (оплачено по счету № 2775 от 30.11.2021 г. в сумме 32787,18 руб.) - нерегулируемый пешеходный переход</t>
  </si>
  <si>
    <t xml:space="preserve">устройство пешеходной дорожки по ул. Матвеева в р-не школы № 37 </t>
  </si>
  <si>
    <t>устройство (монтаж) недостающих средств организации и регулирования дорожного движения в районе дома 
№ 97 по Наугорскому шоссе</t>
  </si>
  <si>
    <t>устройство (монтаж) недостающих средств организации и регулирования дорожного движения по ул.Паровозная в районе д.72, д.27, д.17А, д.4, д.14 (кредиторская задолженность)</t>
  </si>
  <si>
    <t>устройство (монтаж) недостающих средств организации и регулирования дорожного движения в районе д.177 по Московскому шоссе</t>
  </si>
  <si>
    <t>устройство (монтаж) недостающих средств организации и регулирования дорожного движения ул.Матвеева в районе школы №37</t>
  </si>
  <si>
    <t>7.2.</t>
  </si>
  <si>
    <t>700 на освещение ДОП</t>
  </si>
  <si>
    <t>7.3.</t>
  </si>
  <si>
    <t>7.4.</t>
  </si>
  <si>
    <t>Капитальный ремонт улично-дорожной сети города Орла по ул. Салтыкова-Щедрина с территорией прилегающих улиц (ул. 7 Ноября от дома № 8 до дома № 9 по ул. Салтыкова-Щедрина, ул. Тургенева от ул. Салтыкова-Щедрина до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дома № 2 до ул. Максима Горького, ул. Красноармейская от дома № 4 до дома № 7).</t>
  </si>
  <si>
    <t>итого по 578-р от 21.08.2023</t>
  </si>
  <si>
    <t>1.1.7.</t>
  </si>
  <si>
    <t>Ремонт ул.7-ой Орловской дивизии (элементы обустройства автомобильных дорог)</t>
  </si>
  <si>
    <t>Капитальный ремонт улично-дорожной сети города Орла 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7, ул. Красноармейская от дома № 4 до дома № 7</t>
  </si>
  <si>
    <t>7.15.</t>
  </si>
  <si>
    <t>7.17.</t>
  </si>
  <si>
    <t>7.18.</t>
  </si>
  <si>
    <t>7.19.</t>
  </si>
  <si>
    <t>7.20.</t>
  </si>
  <si>
    <t>7.22.</t>
  </si>
  <si>
    <t>7.23.</t>
  </si>
  <si>
    <t>7.24.</t>
  </si>
  <si>
    <t>7.25.</t>
  </si>
  <si>
    <t>7.27.</t>
  </si>
  <si>
    <t>7.28.</t>
  </si>
  <si>
    <t>7.29.</t>
  </si>
  <si>
    <t>7.30.</t>
  </si>
  <si>
    <t>7.31.</t>
  </si>
  <si>
    <t>7.32.</t>
  </si>
  <si>
    <t>7.33.</t>
  </si>
  <si>
    <t>7.34.</t>
  </si>
  <si>
    <t>7.35.</t>
  </si>
  <si>
    <t>7.37.</t>
  </si>
  <si>
    <t>7.38.</t>
  </si>
  <si>
    <t>7.39.</t>
  </si>
  <si>
    <t>7.40.</t>
  </si>
  <si>
    <t>7.41.</t>
  </si>
  <si>
    <t>7.43.</t>
  </si>
  <si>
    <t>7.44.</t>
  </si>
  <si>
    <t>7.45.</t>
  </si>
  <si>
    <t>7.47.</t>
  </si>
  <si>
    <t>7.48.</t>
  </si>
  <si>
    <t>7.49.</t>
  </si>
  <si>
    <t>7.50.</t>
  </si>
  <si>
    <t>7.52.</t>
  </si>
  <si>
    <t>7.53.</t>
  </si>
  <si>
    <t>7.54.</t>
  </si>
  <si>
    <t>7.55.</t>
  </si>
  <si>
    <t>7.57.</t>
  </si>
  <si>
    <t>7.59.</t>
  </si>
  <si>
    <t>7.42.</t>
  </si>
  <si>
    <t>7.51.</t>
  </si>
  <si>
    <t>Протяженность, м</t>
  </si>
  <si>
    <t>Сумма, рублей</t>
  </si>
  <si>
    <t>Перечень улиц согласно МК 56 от</t>
  </si>
  <si>
    <t>Капитальный ремонт автомобильных дорог города Орла на улицах частной жилой застройки: ул.Волжская</t>
  </si>
  <si>
    <t>Капитальный ремонт автомобильных дорог города Орла на улицах частной жилой застройки: ул.Гвардейская</t>
  </si>
  <si>
    <t xml:space="preserve">Капитальный ремонт автомобильных дорог города Орла на улицах частной жилой застройки: ул. Магазинная </t>
  </si>
  <si>
    <t>Капитальный ремонт автомобильных дорог города Орла на улицах частной жилой застройки: пер. Пойменный</t>
  </si>
  <si>
    <t>Капитальный ремонт автомобильных дорог города Орла на улицах частной жилой застройки: Равнинный пер.</t>
  </si>
  <si>
    <t>Капитальный ремонт автомобильных дорог города Орла на улицах частной жилой застройки: проезд Парковый</t>
  </si>
  <si>
    <t>Капитальный ремонт автомобильных дорог города Орла на улицах частной жилой застройки:ул. Садово-Пушкарная</t>
  </si>
  <si>
    <t xml:space="preserve">Начальник управления строительства, дорожного хозяйства и благоустройства администрации города Орла </t>
  </si>
  <si>
    <t>7.6.</t>
  </si>
  <si>
    <t>7.16.</t>
  </si>
  <si>
    <t>7.26.</t>
  </si>
  <si>
    <t>7.36.</t>
  </si>
  <si>
    <t>7.46.</t>
  </si>
  <si>
    <t>7.56.</t>
  </si>
  <si>
    <t>7.58.</t>
  </si>
  <si>
    <t>7.60.</t>
  </si>
  <si>
    <t>обеспечение информационной безопасности объекта КИИ</t>
  </si>
  <si>
    <t>городские</t>
  </si>
  <si>
    <t>МКУ "ОМЗ г.Орла"                                           МБУ "Спецавтобаза по  санитарной очистке города Орла"</t>
  </si>
  <si>
    <t>МБУ "Спецавтобаза по  санитарной очистке города Орла"</t>
  </si>
  <si>
    <t>МКУ "ОМЗ г.Орла"                                                                        МБУ "Спецавтобаза по  санитарной очистке города Орла"</t>
  </si>
  <si>
    <t>МКУ "ОМЗ г.Орла"                                    МБУ "Спецавтобаза по  санитарной очистке города Орла"</t>
  </si>
  <si>
    <t>1.8.</t>
  </si>
  <si>
    <t>893-р от 27.11.2023</t>
  </si>
  <si>
    <t>804-р 31.10.2023</t>
  </si>
  <si>
    <t>Капитальный ремонт автомобильных дорог города Орла на улицах частной жилой застройки: ул. Краснозоренская</t>
  </si>
  <si>
    <t>заводской</t>
  </si>
  <si>
    <t>лимиты по 80-р</t>
  </si>
  <si>
    <t>КЗ САБ по 101-р</t>
  </si>
  <si>
    <t>проезд вдоль дома № 52 по ул. Роза Люксембург</t>
  </si>
  <si>
    <t>проезд по ул. Нормандия Неман д.№ 101</t>
  </si>
  <si>
    <t>увеличение уровня освещенности автомобильных дорог</t>
  </si>
  <si>
    <t>знаки 35 млн; светофоры-18, светофоры-12; разметка-САБ</t>
  </si>
  <si>
    <t>сов</t>
  </si>
  <si>
    <t>ул. Кузнецова</t>
  </si>
  <si>
    <t>ул. Советская от наб. Дубровинского до ул. Герцена</t>
  </si>
  <si>
    <t>ул. Лескова от ул. Матвеева до ул. Пионерской</t>
  </si>
  <si>
    <t>ул. Октябрьская от ул. Пионерская до ул. Полесская</t>
  </si>
  <si>
    <t>ул. Цветаева от Наугорского шоссе до ул. Полесская</t>
  </si>
  <si>
    <t>ул.60-летия Октября от ул. 8 Марта до моста в створе ул. Герцена и ул. 60-летия Октября через р.Оку (включая проезжую часть моста)</t>
  </si>
  <si>
    <t>доп на ямочный ремонт по 125-р</t>
  </si>
  <si>
    <t>ул.Ленина от ул.Салтыкова-Щедрина до ул.Максима Горького</t>
  </si>
  <si>
    <t>ул.Покровская от ул.Московская до ул.Советская</t>
  </si>
  <si>
    <t>ЛБО 2026</t>
  </si>
  <si>
    <t>лимиты стройки</t>
  </si>
  <si>
    <t xml:space="preserve">Капитальный ремонт автомобильной дороги города Орла по ул.Комсомольская на участке от ул.Гостиная до ул.Красина </t>
  </si>
  <si>
    <t>1.1.6.</t>
  </si>
  <si>
    <t xml:space="preserve">выполнение работ по разметке и демаркировке разметки проезжей части дорог в рамках БДД </t>
  </si>
  <si>
    <t>выполнение работ по содержанию и обслуживанию объектов безопасности дорожного движения (светофоры, знаки)</t>
  </si>
  <si>
    <t>восстановление существующего остановочного павильона на остановке общевенного транспорта "Сквер Гуртьева" по ул. Октябрьская</t>
  </si>
  <si>
    <t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t>
  </si>
  <si>
    <t>ул. Поселковая от моста «Лужковский» через реку Оку до границы города Орла</t>
  </si>
  <si>
    <t>ул. Алроса;</t>
  </si>
  <si>
    <t>ул. Зеленина;</t>
  </si>
  <si>
    <t>бульвар Молодежи</t>
  </si>
  <si>
    <t>ул. 1-я Курская от дома № 92 до ул. Магазинная (исключая территорию путепровода)</t>
  </si>
  <si>
    <t>ул. Раздольная от ул. Бурова до ул. Металлургов</t>
  </si>
  <si>
    <t>ул. Комсомольская от ул. Гагарина до ул. Красина</t>
  </si>
  <si>
    <t>Капитальный ремонт автомобильной дороги по ул.Комсомольская от Карачевского шоссе до Кромского шоссе (прилегающая территория). Капитальный  ремонт автомобильной дороги по ул.Комсомольская от Карачевского шоссе до Кромского шоссе (проезжая часть) (завершение).</t>
  </si>
  <si>
    <t>Ремонт улично-дорожной сети города Орла: ул.Бурова (завершение)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</si>
  <si>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</si>
  <si>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</si>
  <si>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</si>
  <si>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</si>
  <si>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</si>
  <si>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</si>
  <si>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</si>
  <si>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</si>
  <si>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</si>
  <si>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</si>
  <si>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</si>
  <si>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Капитальный ремонт автомобильных дорог города Орла на улицах частной жилой застройки: пер.Южный 3 участок</t>
  </si>
  <si>
    <t>Капитальный ремонт автомобильных дорог города Орла на улицах частной жилой застройки: ул.Уральская 1 участок</t>
  </si>
  <si>
    <t>Капитальный ремонт автомобильных дорог города Орла на улицах частной жилой застройки: ул.Лужковская 2 участок</t>
  </si>
  <si>
    <t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t>
  </si>
  <si>
    <t>Капитальный ремонт автомобильных дорог города Орла на улицах частной жилой застройки: ул. Тимирязева</t>
  </si>
  <si>
    <t xml:space="preserve">Капитальный ремонт автомобильных дорог города Орла на улицах частной жилой застройки: ул. Медведева </t>
  </si>
  <si>
    <t>Капитальный ремонт автомобильной дороги по ул. Красина</t>
  </si>
  <si>
    <t xml:space="preserve">Капитальный ремонт автомобильной дороги по ул. Красноармейская </t>
  </si>
  <si>
    <t xml:space="preserve">Капитальный ремонт автомобильной дороги по ул. Сурена Шаумяна </t>
  </si>
  <si>
    <t>Капитальный ремонт автомобильной дороги по ул Тургенева на участке от ул. Брестская до дома № 17 по ул. Ленина</t>
  </si>
  <si>
    <t xml:space="preserve">Капитальный ремонт автомобильной дороги по ул. Брестская </t>
  </si>
  <si>
    <t>Капитальный ремонт автомобильной дороги по ул. 1-ая Посадская на участке от ул. Комсомольская до моста Тургеневский через р. Орлик ул. Тургенева</t>
  </si>
  <si>
    <t>Капитальный ремонт автомобильной дороги по ул. Максима Горького на участке от ул. Брестская до ул. 7 Ноября</t>
  </si>
  <si>
    <t xml:space="preserve">Капитальный ремонт автомобильной дороги по ул. Тургенева на участке от ул. Салтыкова-Щедрина до моста Тургеневский через р. Орлик </t>
  </si>
  <si>
    <t>Капитальный ремонт автомобильной дороги по ул.Игнатова-ул.Приборостроительная от разворотного кольца до ул.Октябрьская</t>
  </si>
  <si>
    <t>Средства Дорожного фонда Орловской области, тыс. руб.</t>
  </si>
  <si>
    <t>Капитальный ремонт улично-дорожной сети города Орла по ул.Салтыкова-Щедрина с территорией прилегающих улиц (ул. 7 Ноября от д.№8 до д.№9 по ул. Салтыкова-Щедрина, ул. Тургенева от ул. Салтыкова-Щедрина ло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д. №2 до ул. Максима Горького, ул. Красноармейская от д.№4 до д.№6) (корректировка)</t>
  </si>
  <si>
    <t>Капитальный ремонт автомобильных дорог города Орла на улицах частной жилой застройки: ул. Смоленская 1 участок</t>
  </si>
  <si>
    <t>Капитальный ремонт автомобильных дорог города Орла на улицах частной жилой застройки: ул. Ново-Лужковская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</si>
  <si>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</si>
  <si>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</si>
  <si>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</si>
  <si>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</si>
  <si>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</si>
  <si>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</si>
  <si>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</si>
  <si>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</si>
  <si>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</si>
  <si>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</si>
  <si>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</si>
  <si>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</si>
  <si>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</si>
  <si>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</si>
  <si>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</si>
  <si>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</si>
  <si>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</si>
  <si>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</si>
  <si>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</si>
  <si>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</si>
  <si>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</si>
  <si>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</si>
  <si>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</si>
  <si>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</si>
  <si>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</si>
  <si>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</si>
  <si>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</si>
  <si>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</si>
  <si>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</si>
  <si>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</si>
  <si>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</si>
  <si>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</si>
  <si>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</si>
  <si>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</si>
  <si>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</si>
  <si>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</si>
  <si>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</si>
  <si>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</si>
  <si>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</si>
  <si>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</si>
  <si>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</si>
  <si>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</si>
  <si>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</si>
  <si>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</si>
  <si>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</si>
  <si>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</si>
  <si>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</si>
  <si>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</si>
  <si>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</si>
  <si>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</si>
  <si>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</si>
  <si>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</si>
  <si>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</si>
  <si>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</si>
  <si>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</si>
  <si>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</si>
  <si>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</si>
  <si>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</si>
  <si>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</si>
  <si>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</si>
  <si>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</si>
  <si>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</si>
  <si>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</si>
  <si>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</si>
  <si>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</si>
  <si>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</si>
  <si>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</si>
  <si>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 xml:space="preserve">ул. Цветаева от ул. Полесская до Наугорского шоссе </t>
  </si>
  <si>
    <t>Капитальный ремонт автомобильных дорог города Орла на улицах частной жилой застройки: ул. Станционная</t>
  </si>
  <si>
    <t>МК</t>
  </si>
  <si>
    <t>ул.Пролетарская Гора от ул.Салтыкова-Щедрина до ул. Максима Горького, от дома №5 до ул.Ленина (1 этап)</t>
  </si>
  <si>
    <t xml:space="preserve">Капитальный ремонт автомобильной дороги города Орла по ул.Михалицына </t>
  </si>
  <si>
    <t>ул. Полесская от ул. Максима Горького до ул. Генерала Родина (1 этап)</t>
  </si>
  <si>
    <t>ул. Полесская от ул. Максима Горького до ул. Генерала Родина (2 этап)</t>
  </si>
  <si>
    <t>3.8.</t>
  </si>
  <si>
    <t>ул.Пролетарская Гора от ул.Салтыкова-Щедрина до ул. Максима Горького, от дома №5 до ул.Ленина (2 этап)</t>
  </si>
  <si>
    <t>Восстановление верхних слоев дорожной одежды -                          не  менее 71 000 кв.м ежегодно; приобретение дорожной техники -                                           52 ед. (приложение 4)</t>
  </si>
  <si>
    <t xml:space="preserve">Площадь отремонтированных объектов УДС города Орла </t>
  </si>
  <si>
    <t xml:space="preserve">Площадь отремонтированных объектов УДС города Орла -                                               </t>
  </si>
  <si>
    <t>от 07 июня 2024 №2558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</si>
</sst>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000"/>
    <numFmt numFmtId="165" formatCode="#,##0.0000"/>
    <numFmt numFmtId="166" formatCode="#,##0.000000"/>
    <numFmt numFmtId="167" formatCode="#,##0.0000000"/>
    <numFmt numFmtId="168" formatCode="0.0000"/>
    <numFmt numFmtId="169" formatCode="0.00000"/>
    <numFmt numFmtId="170" formatCode="#,##0.000"/>
    <numFmt numFmtId="171" formatCode="#,##0.00000_ ;\-#,##0.00000\ "/>
    <numFmt numFmtId="172" formatCode="[$-419]dd\.mmm"/>
    <numFmt numFmtId="173" formatCode="#,##0.0"/>
    <numFmt numFmtId="174" formatCode="[$-419]mmm\.yy"/>
    <numFmt numFmtId="175" formatCode="dd\.mm\.yyyy"/>
    <numFmt numFmtId="176" formatCode="d/m;@"/>
    <numFmt numFmtId="177" formatCode="0.0%"/>
    <numFmt numFmtId="178" formatCode="0.0000%"/>
  </numFmts>
  <fonts count="85" x14ac:knownFonts="1">
    <font>
      <sz val="11"/>
      <name val="Calibri"/>
    </font>
    <font>
      <sz val="13"/>
      <color rgb="FF000000"/>
      <name val="Times New Roman"/>
      <charset val="204"/>
    </font>
    <font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sz val="16"/>
      <color rgb="FF000000"/>
      <name val="Times New Roman"/>
      <charset val="204"/>
    </font>
    <font>
      <sz val="16"/>
      <color rgb="FF000000"/>
      <name val="Calibri"/>
    </font>
    <font>
      <sz val="11"/>
      <color rgb="FF000000"/>
      <name val="Calibri"/>
    </font>
    <font>
      <b/>
      <sz val="16"/>
      <color rgb="FF000000"/>
      <name val="Times New Roman"/>
      <charset val="204"/>
    </font>
    <font>
      <b/>
      <sz val="16"/>
      <color rgb="FF000000"/>
      <name val="Calibri"/>
    </font>
    <font>
      <b/>
      <sz val="13"/>
      <color rgb="FF000000"/>
      <name val="Times New Roman"/>
      <charset val="204"/>
    </font>
    <font>
      <sz val="13"/>
      <color rgb="FF000000"/>
      <name val="Calibri"/>
    </font>
    <font>
      <b/>
      <sz val="12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3"/>
      <color rgb="FFFF0000"/>
      <name val="Times New Roman"/>
      <charset val="204"/>
    </font>
    <font>
      <b/>
      <i/>
      <sz val="13"/>
      <color rgb="FF000000"/>
      <name val="Times New Roman"/>
      <charset val="204"/>
    </font>
    <font>
      <sz val="13"/>
      <color rgb="FF002060"/>
      <name val="Times New Roman"/>
      <charset val="204"/>
    </font>
    <font>
      <b/>
      <sz val="12"/>
      <color rgb="FF000000"/>
      <name val="Calibri"/>
    </font>
    <font>
      <sz val="13"/>
      <color rgb="FF4E6127"/>
      <name val="Times New Roman"/>
      <charset val="204"/>
    </font>
    <font>
      <sz val="13"/>
      <color rgb="FF3F3051"/>
      <name val="Times New Roman"/>
      <charset val="204"/>
    </font>
    <font>
      <sz val="13"/>
      <color rgb="FF1F4A7E"/>
      <name val="Times New Roman"/>
      <charset val="204"/>
    </font>
    <font>
      <b/>
      <sz val="13"/>
      <color rgb="FF000000"/>
      <name val="Calibri"/>
    </font>
    <font>
      <sz val="16"/>
      <color rgb="FF000000"/>
      <name val="Calibri"/>
      <charset val="204"/>
    </font>
    <font>
      <sz val="14"/>
      <color rgb="FF000000"/>
      <name val="Times New Roman"/>
      <charset val="204"/>
    </font>
    <font>
      <sz val="14"/>
      <color rgb="FF000000"/>
      <name val="Calibri"/>
      <charset val="204"/>
    </font>
    <font>
      <sz val="12"/>
      <color rgb="FF000000"/>
      <name val="Calibri"/>
    </font>
    <font>
      <sz val="12"/>
      <name val="Times New Roman"/>
      <charset val="204"/>
    </font>
    <font>
      <i/>
      <sz val="11"/>
      <color rgb="FF000000"/>
      <name val="Calibri"/>
    </font>
    <font>
      <i/>
      <sz val="11"/>
      <color rgb="FF000000"/>
      <name val="Times New Roman"/>
      <charset val="204"/>
    </font>
    <font>
      <i/>
      <sz val="12"/>
      <color rgb="FF000000"/>
      <name val="Times New Roman"/>
      <charset val="204"/>
    </font>
    <font>
      <i/>
      <sz val="12"/>
      <name val="Times New Roman"/>
      <charset val="204"/>
    </font>
    <font>
      <i/>
      <sz val="12"/>
      <color rgb="FF000000"/>
      <name val="Calibri"/>
    </font>
    <font>
      <i/>
      <sz val="12"/>
      <color rgb="FFFF0000"/>
      <name val="Times New Roman"/>
      <charset val="204"/>
    </font>
    <font>
      <i/>
      <sz val="12"/>
      <color rgb="FFFF0000"/>
      <name val="Calibri"/>
    </font>
    <font>
      <i/>
      <sz val="11"/>
      <color rgb="FFFF0000"/>
      <name val="Calibri"/>
    </font>
    <font>
      <sz val="11"/>
      <color rgb="FFFF0000"/>
      <name val="Calibri"/>
    </font>
    <font>
      <sz val="12"/>
      <color rgb="FFFF0000"/>
      <name val="Times New Roman"/>
      <charset val="204"/>
    </font>
    <font>
      <b/>
      <sz val="11"/>
      <color rgb="FF000000"/>
      <name val="Calibri"/>
      <charset val="204"/>
    </font>
    <font>
      <sz val="11"/>
      <color rgb="FF974706"/>
      <name val="Calibri"/>
    </font>
    <font>
      <sz val="12"/>
      <color rgb="FF974706"/>
      <name val="Times New Roman"/>
      <charset val="204"/>
    </font>
    <font>
      <sz val="12"/>
      <color rgb="FF974706"/>
      <name val="Calibri"/>
    </font>
    <font>
      <sz val="12"/>
      <color rgb="FF002060"/>
      <name val="Times New Roman"/>
      <charset val="204"/>
    </font>
    <font>
      <sz val="11"/>
      <color rgb="FF7030A0"/>
      <name val="Calibri"/>
    </font>
    <font>
      <sz val="12"/>
      <color rgb="FFFF0000"/>
      <name val="Calibri"/>
    </font>
    <font>
      <sz val="13"/>
      <name val="Times New Roman"/>
      <charset val="204"/>
    </font>
    <font>
      <b/>
      <sz val="12"/>
      <name val="Times New Roman"/>
      <charset val="204"/>
    </font>
    <font>
      <sz val="12"/>
      <color rgb="FF4E6127"/>
      <name val="Times New Roman"/>
      <charset val="204"/>
    </font>
    <font>
      <sz val="12"/>
      <color rgb="FF17375E"/>
      <name val="Calibri"/>
    </font>
    <font>
      <sz val="11"/>
      <color rgb="FF17375E"/>
      <name val="Calibri"/>
    </font>
    <font>
      <sz val="12"/>
      <color rgb="FF17375E"/>
      <name val="Times New Roman"/>
      <charset val="204"/>
    </font>
    <font>
      <b/>
      <sz val="11"/>
      <color rgb="FF000000"/>
      <name val="Calibri"/>
    </font>
    <font>
      <sz val="12"/>
      <color rgb="FF000000"/>
      <name val="Calibri"/>
      <charset val="204"/>
    </font>
    <font>
      <sz val="11"/>
      <color rgb="FF642523"/>
      <name val="Calibri"/>
    </font>
    <font>
      <sz val="13"/>
      <color rgb="FF642523"/>
      <name val="Times New Roman"/>
      <charset val="204"/>
    </font>
    <font>
      <sz val="12"/>
      <color rgb="FF642523"/>
      <name val="Times New Roman"/>
      <charset val="204"/>
    </font>
    <font>
      <sz val="12"/>
      <color rgb="FF642523"/>
      <name val="Calibri"/>
    </font>
    <font>
      <i/>
      <sz val="11"/>
      <color rgb="FFFF0000"/>
      <name val="Times New Roman"/>
      <charset val="204"/>
    </font>
    <font>
      <i/>
      <sz val="12"/>
      <color rgb="FF000000"/>
      <name val="Calibri"/>
      <charset val="204"/>
    </font>
    <font>
      <sz val="11"/>
      <color rgb="FF000000"/>
      <name val="Calibri"/>
      <charset val="204"/>
    </font>
    <font>
      <b/>
      <sz val="11"/>
      <color rgb="FF002060"/>
      <name val="Calibri"/>
      <charset val="204"/>
    </font>
    <font>
      <b/>
      <sz val="12"/>
      <color rgb="FF000000"/>
      <name val="Calibri"/>
      <charset val="204"/>
    </font>
    <font>
      <i/>
      <sz val="11"/>
      <color rgb="FF000000"/>
      <name val="Calibri"/>
      <charset val="204"/>
    </font>
    <font>
      <sz val="11"/>
      <color rgb="FF000000"/>
      <name val="Calibri"/>
      <charset val="204"/>
    </font>
    <font>
      <sz val="12"/>
      <color rgb="FFFF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b/>
      <i/>
      <sz val="11"/>
      <color rgb="FF000000"/>
      <name val="Calibri"/>
      <charset val="204"/>
    </font>
    <font>
      <sz val="11"/>
      <color rgb="FFFF0000"/>
      <name val="Calibri"/>
      <charset val="204"/>
    </font>
    <font>
      <sz val="12"/>
      <name val="Calibri"/>
    </font>
    <font>
      <b/>
      <sz val="14"/>
      <color rgb="FF000000"/>
      <name val="Times New Roman"/>
      <charset val="204"/>
    </font>
    <font>
      <sz val="14"/>
      <color rgb="FFFF0000"/>
      <name val="Times New Roman"/>
      <charset val="204"/>
    </font>
    <font>
      <b/>
      <i/>
      <sz val="12"/>
      <color rgb="FF000000"/>
      <name val="Times New Roman"/>
      <charset val="204"/>
    </font>
    <font>
      <b/>
      <sz val="14"/>
      <color rgb="FF000000"/>
      <name val="Calibri"/>
      <charset val="204"/>
    </font>
    <font>
      <sz val="13"/>
      <color rgb="FFC00000"/>
      <name val="Times New Roman"/>
      <charset val="204"/>
    </font>
    <font>
      <b/>
      <sz val="12"/>
      <color rgb="FF0070C0"/>
      <name val="Times New Roman"/>
      <charset val="204"/>
    </font>
    <font>
      <sz val="11"/>
      <color rgb="FF000000"/>
      <name val="Calibri"/>
      <charset val="204"/>
    </font>
    <font>
      <sz val="11"/>
      <color rgb="FF000000"/>
      <name val="Calibri"/>
      <charset val="204"/>
    </font>
    <font>
      <b/>
      <sz val="11"/>
      <color rgb="FFFF0000"/>
      <name val="Calibri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64" fontId="3" fillId="0" borderId="0" xfId="0" applyNumberFormat="1" applyFont="1">
      <alignment vertical="center"/>
    </xf>
    <xf numFmtId="164" fontId="3" fillId="2" borderId="0" xfId="0" applyNumberFormat="1" applyFont="1" applyFill="1">
      <alignment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>
      <alignment vertical="center"/>
    </xf>
    <xf numFmtId="164" fontId="4" fillId="0" borderId="0" xfId="0" applyNumberFormat="1" applyFont="1">
      <alignment vertical="center"/>
    </xf>
    <xf numFmtId="164" fontId="4" fillId="2" borderId="0" xfId="0" applyNumberFormat="1" applyFont="1" applyFill="1">
      <alignment vertical="center"/>
    </xf>
    <xf numFmtId="164" fontId="1" fillId="0" borderId="0" xfId="0" applyNumberFormat="1" applyFont="1">
      <alignment vertical="center"/>
    </xf>
    <xf numFmtId="164" fontId="1" fillId="0" borderId="0" xfId="0" applyNumberFormat="1" applyFont="1" applyAlignment="1">
      <alignment horizontal="center" vertical="center"/>
    </xf>
    <xf numFmtId="164" fontId="6" fillId="2" borderId="0" xfId="0" applyNumberFormat="1" applyFont="1" applyFill="1">
      <alignment vertical="center"/>
    </xf>
    <xf numFmtId="164" fontId="6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" fontId="12" fillId="2" borderId="9" xfId="0" applyNumberFormat="1" applyFont="1" applyFill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0" fontId="9" fillId="2" borderId="16" xfId="0" applyFont="1" applyFill="1" applyBorder="1" applyAlignment="1">
      <alignment vertical="center" wrapText="1"/>
    </xf>
    <xf numFmtId="164" fontId="9" fillId="2" borderId="19" xfId="0" applyNumberFormat="1" applyFont="1" applyFill="1" applyBorder="1" applyAlignment="1">
      <alignment horizontal="center" vertical="center"/>
    </xf>
    <xf numFmtId="164" fontId="9" fillId="2" borderId="20" xfId="0" applyNumberFormat="1" applyFont="1" applyFill="1" applyBorder="1">
      <alignment vertical="center"/>
    </xf>
    <xf numFmtId="164" fontId="9" fillId="2" borderId="21" xfId="0" applyNumberFormat="1" applyFont="1" applyFill="1" applyBorder="1">
      <alignment vertical="center"/>
    </xf>
    <xf numFmtId="0" fontId="9" fillId="2" borderId="22" xfId="0" applyFont="1" applyFill="1" applyBorder="1" applyAlignment="1">
      <alignment vertical="center" wrapText="1"/>
    </xf>
    <xf numFmtId="164" fontId="1" fillId="2" borderId="20" xfId="0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vertical="center" wrapText="1"/>
    </xf>
    <xf numFmtId="164" fontId="9" fillId="2" borderId="28" xfId="0" applyNumberFormat="1" applyFont="1" applyFill="1" applyBorder="1" applyAlignment="1">
      <alignment horizontal="right" vertical="center"/>
    </xf>
    <xf numFmtId="164" fontId="1" fillId="2" borderId="28" xfId="0" applyNumberFormat="1" applyFont="1" applyFill="1" applyBorder="1" applyAlignment="1">
      <alignment horizontal="right" vertical="center"/>
    </xf>
    <xf numFmtId="164" fontId="1" fillId="2" borderId="29" xfId="0" applyNumberFormat="1" applyFont="1" applyFill="1" applyBorder="1" applyAlignment="1">
      <alignment horizontal="right" vertical="center"/>
    </xf>
    <xf numFmtId="0" fontId="9" fillId="2" borderId="34" xfId="0" applyFont="1" applyFill="1" applyBorder="1" applyAlignment="1">
      <alignment vertical="center" wrapText="1"/>
    </xf>
    <xf numFmtId="0" fontId="1" fillId="2" borderId="35" xfId="0" applyFont="1" applyFill="1" applyBorder="1">
      <alignment vertical="center"/>
    </xf>
    <xf numFmtId="164" fontId="1" fillId="2" borderId="36" xfId="0" applyNumberFormat="1" applyFont="1" applyFill="1" applyBorder="1">
      <alignment vertical="center"/>
    </xf>
    <xf numFmtId="164" fontId="1" fillId="2" borderId="37" xfId="0" applyNumberFormat="1" applyFont="1" applyFill="1" applyBorder="1">
      <alignment vertical="center"/>
    </xf>
    <xf numFmtId="164" fontId="1" fillId="2" borderId="38" xfId="0" applyNumberFormat="1" applyFont="1" applyFill="1" applyBorder="1">
      <alignment vertical="center"/>
    </xf>
    <xf numFmtId="164" fontId="1" fillId="2" borderId="39" xfId="0" applyNumberFormat="1" applyFont="1" applyFill="1" applyBorder="1">
      <alignment vertical="center"/>
    </xf>
    <xf numFmtId="0" fontId="9" fillId="2" borderId="31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horizontal="center" vertical="center"/>
    </xf>
    <xf numFmtId="164" fontId="9" fillId="2" borderId="32" xfId="0" applyNumberFormat="1" applyFont="1" applyFill="1" applyBorder="1">
      <alignment vertical="center"/>
    </xf>
    <xf numFmtId="164" fontId="9" fillId="2" borderId="40" xfId="0" applyNumberFormat="1" applyFont="1" applyFill="1" applyBorder="1">
      <alignment vertical="center"/>
    </xf>
    <xf numFmtId="165" fontId="1" fillId="0" borderId="0" xfId="0" applyNumberFormat="1" applyFont="1" applyAlignment="1">
      <alignment horizontal="center" vertical="center"/>
    </xf>
    <xf numFmtId="0" fontId="1" fillId="2" borderId="22" xfId="0" applyFont="1" applyFill="1" applyBorder="1" applyAlignment="1">
      <alignment horizontal="left" vertical="center" wrapText="1"/>
    </xf>
    <xf numFmtId="0" fontId="1" fillId="2" borderId="30" xfId="0" applyFont="1" applyFill="1" applyBorder="1">
      <alignment vertical="center"/>
    </xf>
    <xf numFmtId="0" fontId="1" fillId="2" borderId="16" xfId="0" applyFont="1" applyFill="1" applyBorder="1">
      <alignment vertical="center"/>
    </xf>
    <xf numFmtId="0" fontId="1" fillId="2" borderId="32" xfId="0" applyFont="1" applyFill="1" applyBorder="1">
      <alignment vertical="center"/>
    </xf>
    <xf numFmtId="164" fontId="1" fillId="2" borderId="32" xfId="0" applyNumberFormat="1" applyFont="1" applyFill="1" applyBorder="1" applyAlignment="1">
      <alignment horizontal="right" vertical="center"/>
    </xf>
    <xf numFmtId="164" fontId="1" fillId="2" borderId="41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164" fontId="13" fillId="0" borderId="0" xfId="0" applyNumberFormat="1" applyFont="1" applyAlignment="1">
      <alignment horizontal="left" vertical="center"/>
    </xf>
    <xf numFmtId="4" fontId="1" fillId="0" borderId="0" xfId="0" applyNumberFormat="1" applyFont="1">
      <alignment vertical="center"/>
    </xf>
    <xf numFmtId="164" fontId="1" fillId="2" borderId="28" xfId="0" applyNumberFormat="1" applyFont="1" applyFill="1" applyBorder="1" applyAlignment="1">
      <alignment horizontal="right" vertical="center" wrapText="1"/>
    </xf>
    <xf numFmtId="164" fontId="1" fillId="2" borderId="29" xfId="0" applyNumberFormat="1" applyFont="1" applyFill="1" applyBorder="1" applyAlignment="1">
      <alignment horizontal="right" vertical="center" wrapText="1"/>
    </xf>
    <xf numFmtId="166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left" vertical="center"/>
    </xf>
    <xf numFmtId="164" fontId="1" fillId="2" borderId="32" xfId="0" applyNumberFormat="1" applyFont="1" applyFill="1" applyBorder="1" applyAlignment="1">
      <alignment horizontal="right" vertical="center" wrapText="1"/>
    </xf>
    <xf numFmtId="164" fontId="1" fillId="2" borderId="42" xfId="0" applyNumberFormat="1" applyFont="1" applyFill="1" applyBorder="1" applyAlignment="1">
      <alignment horizontal="right" vertical="center" wrapText="1"/>
    </xf>
    <xf numFmtId="164" fontId="1" fillId="2" borderId="20" xfId="0" applyNumberFormat="1" applyFont="1" applyFill="1" applyBorder="1" applyAlignment="1">
      <alignment horizontal="right" vertical="center" wrapText="1"/>
    </xf>
    <xf numFmtId="164" fontId="1" fillId="2" borderId="21" xfId="0" applyNumberFormat="1" applyFont="1" applyFill="1" applyBorder="1" applyAlignment="1">
      <alignment horizontal="right" vertical="center" wrapText="1"/>
    </xf>
    <xf numFmtId="164" fontId="1" fillId="2" borderId="32" xfId="0" applyNumberFormat="1" applyFont="1" applyFill="1" applyBorder="1">
      <alignment vertical="center"/>
    </xf>
    <xf numFmtId="164" fontId="1" fillId="2" borderId="42" xfId="0" applyNumberFormat="1" applyFont="1" applyFill="1" applyBorder="1">
      <alignment vertical="center"/>
    </xf>
    <xf numFmtId="164" fontId="1" fillId="2" borderId="20" xfId="0" applyNumberFormat="1" applyFont="1" applyFill="1" applyBorder="1">
      <alignment vertical="center"/>
    </xf>
    <xf numFmtId="164" fontId="1" fillId="2" borderId="21" xfId="0" applyNumberFormat="1" applyFont="1" applyFill="1" applyBorder="1">
      <alignment vertical="center"/>
    </xf>
    <xf numFmtId="164" fontId="1" fillId="2" borderId="28" xfId="0" applyNumberFormat="1" applyFont="1" applyFill="1" applyBorder="1">
      <alignment vertical="center"/>
    </xf>
    <xf numFmtId="164" fontId="1" fillId="2" borderId="40" xfId="0" applyNumberFormat="1" applyFont="1" applyFill="1" applyBorder="1">
      <alignment vertical="center"/>
    </xf>
    <xf numFmtId="167" fontId="1" fillId="0" borderId="0" xfId="0" applyNumberFormat="1" applyFont="1">
      <alignment vertical="center"/>
    </xf>
    <xf numFmtId="0" fontId="14" fillId="2" borderId="31" xfId="0" applyFont="1" applyFill="1" applyBorder="1" applyAlignment="1">
      <alignment vertical="center" wrapText="1"/>
    </xf>
    <xf numFmtId="166" fontId="1" fillId="0" borderId="0" xfId="0" applyNumberFormat="1" applyFont="1">
      <alignment vertical="center"/>
    </xf>
    <xf numFmtId="0" fontId="9" fillId="2" borderId="23" xfId="0" applyFont="1" applyFill="1" applyBorder="1" applyAlignment="1">
      <alignment vertical="center" wrapText="1"/>
    </xf>
    <xf numFmtId="0" fontId="1" fillId="2" borderId="18" xfId="0" applyFont="1" applyFill="1" applyBorder="1">
      <alignment vertical="center"/>
    </xf>
    <xf numFmtId="164" fontId="1" fillId="2" borderId="24" xfId="0" applyNumberFormat="1" applyFont="1" applyFill="1" applyBorder="1">
      <alignment vertical="center"/>
    </xf>
    <xf numFmtId="164" fontId="1" fillId="2" borderId="0" xfId="0" applyNumberFormat="1" applyFont="1" applyFill="1">
      <alignment vertical="center"/>
    </xf>
    <xf numFmtId="164" fontId="1" fillId="2" borderId="17" xfId="0" applyNumberFormat="1" applyFont="1" applyFill="1" applyBorder="1">
      <alignment vertical="center"/>
    </xf>
    <xf numFmtId="164" fontId="1" fillId="2" borderId="43" xfId="0" applyNumberFormat="1" applyFont="1" applyFill="1" applyBorder="1">
      <alignment vertical="center"/>
    </xf>
    <xf numFmtId="3" fontId="9" fillId="2" borderId="23" xfId="0" applyNumberFormat="1" applyFont="1" applyFill="1" applyBorder="1">
      <alignment vertical="center"/>
    </xf>
    <xf numFmtId="0" fontId="9" fillId="2" borderId="24" xfId="0" applyFont="1" applyFill="1" applyBorder="1">
      <alignment vertical="center"/>
    </xf>
    <xf numFmtId="168" fontId="9" fillId="2" borderId="31" xfId="0" applyNumberFormat="1" applyFont="1" applyFill="1" applyBorder="1">
      <alignment vertical="center"/>
    </xf>
    <xf numFmtId="0" fontId="9" fillId="2" borderId="32" xfId="0" applyFont="1" applyFill="1" applyBorder="1">
      <alignment vertical="center"/>
    </xf>
    <xf numFmtId="164" fontId="1" fillId="2" borderId="30" xfId="0" applyNumberFormat="1" applyFont="1" applyFill="1" applyBorder="1">
      <alignment vertical="center"/>
    </xf>
    <xf numFmtId="165" fontId="1" fillId="2" borderId="30" xfId="0" applyNumberFormat="1" applyFont="1" applyFill="1" applyBorder="1">
      <alignment vertical="center"/>
    </xf>
    <xf numFmtId="3" fontId="1" fillId="2" borderId="16" xfId="0" applyNumberFormat="1" applyFont="1" applyFill="1" applyBorder="1" applyAlignment="1">
      <alignment horizontal="right" vertical="center"/>
    </xf>
    <xf numFmtId="168" fontId="1" fillId="2" borderId="32" xfId="0" applyNumberFormat="1" applyFont="1" applyFill="1" applyBorder="1" applyAlignment="1">
      <alignment horizontal="right" vertical="center"/>
    </xf>
    <xf numFmtId="165" fontId="1" fillId="2" borderId="32" xfId="0" applyNumberFormat="1" applyFont="1" applyFill="1" applyBorder="1">
      <alignment vertical="center"/>
    </xf>
    <xf numFmtId="164" fontId="1" fillId="2" borderId="40" xfId="0" applyNumberFormat="1" applyFont="1" applyFill="1" applyBorder="1" applyAlignment="1">
      <alignment horizontal="right" vertical="center" wrapText="1"/>
    </xf>
    <xf numFmtId="165" fontId="1" fillId="2" borderId="32" xfId="0" applyNumberFormat="1" applyFont="1" applyFill="1" applyBorder="1" applyAlignment="1">
      <alignment horizontal="right" vertical="center"/>
    </xf>
    <xf numFmtId="0" fontId="2" fillId="2" borderId="28" xfId="0" applyFont="1" applyFill="1" applyBorder="1">
      <alignment vertical="center"/>
    </xf>
    <xf numFmtId="165" fontId="1" fillId="2" borderId="28" xfId="0" applyNumberFormat="1" applyFont="1" applyFill="1" applyBorder="1">
      <alignment vertical="center"/>
    </xf>
    <xf numFmtId="164" fontId="2" fillId="2" borderId="32" xfId="0" applyNumberFormat="1" applyFont="1" applyFill="1" applyBorder="1">
      <alignment vertical="center"/>
    </xf>
    <xf numFmtId="164" fontId="1" fillId="2" borderId="29" xfId="0" applyNumberFormat="1" applyFont="1" applyFill="1" applyBorder="1">
      <alignment vertical="center"/>
    </xf>
    <xf numFmtId="0" fontId="3" fillId="2" borderId="28" xfId="0" applyFont="1" applyFill="1" applyBorder="1" applyAlignment="1">
      <alignment horizontal="right" vertical="center" wrapText="1"/>
    </xf>
    <xf numFmtId="0" fontId="3" fillId="2" borderId="32" xfId="0" applyFont="1" applyFill="1" applyBorder="1" applyAlignment="1">
      <alignment horizontal="right" vertical="center" wrapText="1"/>
    </xf>
    <xf numFmtId="164" fontId="1" fillId="2" borderId="28" xfId="0" applyNumberFormat="1" applyFont="1" applyFill="1" applyBorder="1" applyAlignment="1">
      <alignment vertical="center" wrapText="1"/>
    </xf>
    <xf numFmtId="164" fontId="1" fillId="2" borderId="32" xfId="0" applyNumberFormat="1" applyFont="1" applyFill="1" applyBorder="1" applyAlignment="1">
      <alignment vertical="center" wrapText="1"/>
    </xf>
    <xf numFmtId="0" fontId="15" fillId="0" borderId="0" xfId="0" applyFont="1">
      <alignment vertical="center"/>
    </xf>
    <xf numFmtId="165" fontId="15" fillId="0" borderId="0" xfId="0" applyNumberFormat="1" applyFont="1" applyAlignment="1">
      <alignment horizontal="center" vertical="center"/>
    </xf>
    <xf numFmtId="0" fontId="13" fillId="0" borderId="0" xfId="0" applyFont="1">
      <alignment vertical="center"/>
    </xf>
    <xf numFmtId="164" fontId="2" fillId="2" borderId="40" xfId="0" applyNumberFormat="1" applyFont="1" applyFill="1" applyBorder="1">
      <alignment vertical="center"/>
    </xf>
    <xf numFmtId="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2" borderId="32" xfId="0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" fillId="2" borderId="42" xfId="0" applyFont="1" applyFill="1" applyBorder="1">
      <alignment vertical="center"/>
    </xf>
    <xf numFmtId="164" fontId="1" fillId="2" borderId="42" xfId="0" applyNumberFormat="1" applyFont="1" applyFill="1" applyBorder="1" applyAlignment="1">
      <alignment vertical="center" wrapText="1"/>
    </xf>
    <xf numFmtId="164" fontId="1" fillId="2" borderId="40" xfId="0" applyNumberFormat="1" applyFont="1" applyFill="1" applyBorder="1" applyAlignment="1">
      <alignment vertical="center" wrapText="1"/>
    </xf>
    <xf numFmtId="164" fontId="3" fillId="2" borderId="32" xfId="0" applyNumberFormat="1" applyFont="1" applyFill="1" applyBorder="1">
      <alignment vertical="center"/>
    </xf>
    <xf numFmtId="0" fontId="1" fillId="0" borderId="42" xfId="0" applyFont="1" applyBorder="1">
      <alignment vertical="center"/>
    </xf>
    <xf numFmtId="0" fontId="13" fillId="0" borderId="42" xfId="0" applyFont="1" applyBorder="1" applyAlignment="1">
      <alignment horizontal="center" vertical="center"/>
    </xf>
    <xf numFmtId="164" fontId="1" fillId="0" borderId="42" xfId="0" applyNumberFormat="1" applyFont="1" applyBorder="1">
      <alignment vertical="center"/>
    </xf>
    <xf numFmtId="165" fontId="9" fillId="2" borderId="31" xfId="0" applyNumberFormat="1" applyFont="1" applyFill="1" applyBorder="1">
      <alignment vertical="center"/>
    </xf>
    <xf numFmtId="3" fontId="1" fillId="2" borderId="16" xfId="0" applyNumberFormat="1" applyFont="1" applyFill="1" applyBorder="1">
      <alignment vertical="center"/>
    </xf>
    <xf numFmtId="164" fontId="3" fillId="2" borderId="30" xfId="0" applyNumberFormat="1" applyFont="1" applyFill="1" applyBorder="1">
      <alignment vertical="center"/>
    </xf>
    <xf numFmtId="0" fontId="15" fillId="0" borderId="0" xfId="0" applyFont="1" applyAlignment="1">
      <alignment horizontal="center" vertical="center"/>
    </xf>
    <xf numFmtId="4" fontId="15" fillId="0" borderId="0" xfId="0" applyNumberFormat="1" applyFont="1">
      <alignment vertical="center"/>
    </xf>
    <xf numFmtId="164" fontId="15" fillId="0" borderId="0" xfId="0" applyNumberFormat="1" applyFont="1">
      <alignment vertical="center"/>
    </xf>
    <xf numFmtId="164" fontId="15" fillId="0" borderId="0" xfId="0" applyNumberFormat="1" applyFont="1" applyAlignment="1">
      <alignment horizontal="center" vertical="center"/>
    </xf>
    <xf numFmtId="164" fontId="2" fillId="2" borderId="28" xfId="0" applyNumberFormat="1" applyFont="1" applyFill="1" applyBorder="1">
      <alignment vertical="center"/>
    </xf>
    <xf numFmtId="4" fontId="1" fillId="0" borderId="0" xfId="0" applyNumberFormat="1" applyFont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169" fontId="1" fillId="0" borderId="0" xfId="0" applyNumberFormat="1" applyFont="1">
      <alignment vertical="center"/>
    </xf>
    <xf numFmtId="0" fontId="1" fillId="2" borderId="28" xfId="0" applyFont="1" applyFill="1" applyBorder="1">
      <alignment vertical="center"/>
    </xf>
    <xf numFmtId="0" fontId="1" fillId="2" borderId="22" xfId="0" applyFont="1" applyFill="1" applyBorder="1">
      <alignment vertical="center"/>
    </xf>
    <xf numFmtId="0" fontId="1" fillId="2" borderId="41" xfId="0" applyFont="1" applyFill="1" applyBorder="1">
      <alignment vertical="center"/>
    </xf>
    <xf numFmtId="164" fontId="1" fillId="2" borderId="41" xfId="0" applyNumberFormat="1" applyFont="1" applyFill="1" applyBorder="1">
      <alignment vertical="center"/>
    </xf>
    <xf numFmtId="164" fontId="1" fillId="2" borderId="27" xfId="0" applyNumberFormat="1" applyFont="1" applyFill="1" applyBorder="1">
      <alignment vertical="center"/>
    </xf>
    <xf numFmtId="0" fontId="1" fillId="2" borderId="38" xfId="0" applyFont="1" applyFill="1" applyBorder="1">
      <alignment vertical="center"/>
    </xf>
    <xf numFmtId="0" fontId="1" fillId="2" borderId="37" xfId="0" applyFont="1" applyFill="1" applyBorder="1">
      <alignment vertical="center"/>
    </xf>
    <xf numFmtId="164" fontId="9" fillId="2" borderId="36" xfId="0" applyNumberFormat="1" applyFont="1" applyFill="1" applyBorder="1" applyAlignment="1">
      <alignment horizontal="center" vertical="center" wrapText="1"/>
    </xf>
    <xf numFmtId="164" fontId="1" fillId="2" borderId="35" xfId="0" applyNumberFormat="1" applyFont="1" applyFill="1" applyBorder="1">
      <alignment vertical="center"/>
    </xf>
    <xf numFmtId="164" fontId="9" fillId="2" borderId="32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" fillId="2" borderId="20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16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" fillId="2" borderId="20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164" fontId="9" fillId="2" borderId="32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2" borderId="31" xfId="0" applyFont="1" applyFill="1" applyBorder="1">
      <alignment vertical="center"/>
    </xf>
    <xf numFmtId="164" fontId="1" fillId="2" borderId="45" xfId="0" applyNumberFormat="1" applyFont="1" applyFill="1" applyBorder="1">
      <alignment vertical="center"/>
    </xf>
    <xf numFmtId="164" fontId="9" fillId="2" borderId="30" xfId="0" applyNumberFormat="1" applyFont="1" applyFill="1" applyBorder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0" fillId="2" borderId="22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>
      <alignment vertical="center"/>
    </xf>
    <xf numFmtId="164" fontId="13" fillId="0" borderId="0" xfId="0" applyNumberFormat="1" applyFont="1" applyAlignment="1">
      <alignment horizontal="center" vertical="center"/>
    </xf>
    <xf numFmtId="0" fontId="1" fillId="2" borderId="25" xfId="0" applyFont="1" applyFill="1" applyBorder="1">
      <alignment vertical="center"/>
    </xf>
    <xf numFmtId="0" fontId="1" fillId="2" borderId="46" xfId="0" applyFont="1" applyFill="1" applyBorder="1" applyAlignment="1">
      <alignment vertical="center" wrapText="1"/>
    </xf>
    <xf numFmtId="0" fontId="1" fillId="2" borderId="46" xfId="0" applyFont="1" applyFill="1" applyBorder="1">
      <alignment vertical="center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9" fillId="2" borderId="44" xfId="0" applyFont="1" applyFill="1" applyBorder="1" applyAlignment="1">
      <alignment vertical="center" wrapText="1"/>
    </xf>
    <xf numFmtId="0" fontId="1" fillId="2" borderId="17" xfId="0" applyFont="1" applyFill="1" applyBorder="1">
      <alignment vertical="center"/>
    </xf>
    <xf numFmtId="3" fontId="9" fillId="2" borderId="18" xfId="0" applyNumberFormat="1" applyFont="1" applyFill="1" applyBorder="1">
      <alignment vertical="center"/>
    </xf>
    <xf numFmtId="0" fontId="9" fillId="2" borderId="24" xfId="0" applyFont="1" applyFill="1" applyBorder="1" applyAlignment="1">
      <alignment horizontal="left" vertical="center"/>
    </xf>
    <xf numFmtId="167" fontId="1" fillId="0" borderId="0" xfId="0" applyNumberFormat="1" applyFont="1" applyAlignment="1">
      <alignment horizontal="center" vertical="center"/>
    </xf>
    <xf numFmtId="165" fontId="9" fillId="2" borderId="30" xfId="0" applyNumberFormat="1" applyFont="1" applyFill="1" applyBorder="1">
      <alignment vertical="center"/>
    </xf>
    <xf numFmtId="0" fontId="9" fillId="2" borderId="32" xfId="0" applyFont="1" applyFill="1" applyBorder="1" applyAlignment="1">
      <alignment horizontal="left" vertical="center"/>
    </xf>
    <xf numFmtId="3" fontId="1" fillId="2" borderId="28" xfId="0" applyNumberFormat="1" applyFont="1" applyFill="1" applyBorder="1">
      <alignment vertical="center"/>
    </xf>
    <xf numFmtId="170" fontId="1" fillId="2" borderId="28" xfId="0" applyNumberFormat="1" applyFont="1" applyFill="1" applyBorder="1">
      <alignment vertical="center"/>
    </xf>
    <xf numFmtId="170" fontId="1" fillId="2" borderId="25" xfId="0" applyNumberFormat="1" applyFont="1" applyFill="1" applyBorder="1">
      <alignment vertical="center"/>
    </xf>
    <xf numFmtId="3" fontId="1" fillId="2" borderId="22" xfId="0" applyNumberFormat="1" applyFont="1" applyFill="1" applyBorder="1">
      <alignment vertical="center"/>
    </xf>
    <xf numFmtId="3" fontId="1" fillId="2" borderId="25" xfId="0" applyNumberFormat="1" applyFont="1" applyFill="1" applyBorder="1">
      <alignment vertical="center"/>
    </xf>
    <xf numFmtId="168" fontId="1" fillId="2" borderId="32" xfId="0" applyNumberFormat="1" applyFont="1" applyFill="1" applyBorder="1">
      <alignment vertical="center"/>
    </xf>
    <xf numFmtId="0" fontId="1" fillId="2" borderId="0" xfId="0" applyFont="1" applyFill="1">
      <alignment vertical="center"/>
    </xf>
    <xf numFmtId="164" fontId="1" fillId="2" borderId="0" xfId="0" applyNumberFormat="1" applyFont="1" applyFill="1" applyAlignment="1">
      <alignment horizontal="center" vertical="center"/>
    </xf>
    <xf numFmtId="3" fontId="1" fillId="0" borderId="0" xfId="0" applyNumberFormat="1" applyFont="1">
      <alignment vertical="center"/>
    </xf>
    <xf numFmtId="165" fontId="1" fillId="0" borderId="0" xfId="0" applyNumberFormat="1" applyFont="1">
      <alignment vertical="center"/>
    </xf>
    <xf numFmtId="0" fontId="1" fillId="2" borderId="47" xfId="0" applyFont="1" applyFill="1" applyBorder="1" applyAlignment="1">
      <alignment vertical="center" wrapText="1"/>
    </xf>
    <xf numFmtId="0" fontId="1" fillId="2" borderId="10" xfId="0" applyFont="1" applyFill="1" applyBorder="1">
      <alignment vertical="center"/>
    </xf>
    <xf numFmtId="0" fontId="1" fillId="2" borderId="11" xfId="0" applyFont="1" applyFill="1" applyBorder="1">
      <alignment vertical="center"/>
    </xf>
    <xf numFmtId="0" fontId="1" fillId="2" borderId="47" xfId="0" applyFont="1" applyFill="1" applyBorder="1">
      <alignment vertical="center"/>
    </xf>
    <xf numFmtId="164" fontId="1" fillId="2" borderId="10" xfId="0" applyNumberFormat="1" applyFont="1" applyFill="1" applyBorder="1">
      <alignment vertical="center"/>
    </xf>
    <xf numFmtId="164" fontId="1" fillId="2" borderId="48" xfId="0" applyNumberFormat="1" applyFont="1" applyFill="1" applyBorder="1">
      <alignment vertical="center"/>
    </xf>
    <xf numFmtId="0" fontId="2" fillId="2" borderId="0" xfId="0" applyFont="1" applyFill="1">
      <alignment vertical="center"/>
    </xf>
    <xf numFmtId="3" fontId="2" fillId="2" borderId="0" xfId="0" applyNumberFormat="1" applyFont="1" applyFill="1">
      <alignment vertical="center"/>
    </xf>
    <xf numFmtId="165" fontId="2" fillId="2" borderId="0" xfId="0" applyNumberFormat="1" applyFont="1" applyFill="1">
      <alignment vertical="center"/>
    </xf>
    <xf numFmtId="164" fontId="2" fillId="2" borderId="0" xfId="0" applyNumberFormat="1" applyFont="1" applyFill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21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164" fontId="4" fillId="2" borderId="0" xfId="0" applyNumberFormat="1" applyFont="1" applyFill="1" applyAlignment="1">
      <alignment horizontal="left" vertical="center"/>
    </xf>
    <xf numFmtId="0" fontId="22" fillId="2" borderId="0" xfId="0" applyFont="1" applyFill="1">
      <alignment vertical="center"/>
    </xf>
    <xf numFmtId="0" fontId="23" fillId="2" borderId="0" xfId="0" applyFont="1" applyFill="1">
      <alignment vertical="center"/>
    </xf>
    <xf numFmtId="0" fontId="2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3" fontId="2" fillId="0" borderId="0" xfId="0" applyNumberFormat="1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64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4" fontId="6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1" fillId="0" borderId="28" xfId="0" applyFont="1" applyBorder="1" applyAlignment="1">
      <alignment vertical="center" wrapText="1"/>
    </xf>
    <xf numFmtId="171" fontId="11" fillId="0" borderId="28" xfId="0" applyNumberFormat="1" applyFont="1" applyBorder="1" applyAlignment="1">
      <alignment horizontal="right" vertical="center" wrapText="1"/>
    </xf>
    <xf numFmtId="171" fontId="11" fillId="0" borderId="29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164" fontId="2" fillId="0" borderId="28" xfId="0" applyNumberFormat="1" applyFont="1" applyBorder="1" applyAlignment="1">
      <alignment horizontal="right" vertical="center" wrapText="1"/>
    </xf>
    <xf numFmtId="164" fontId="25" fillId="0" borderId="28" xfId="0" applyNumberFormat="1" applyFont="1" applyBorder="1">
      <alignment vertical="center"/>
    </xf>
    <xf numFmtId="164" fontId="25" fillId="0" borderId="29" xfId="0" applyNumberFormat="1" applyFont="1" applyBorder="1">
      <alignment vertical="center"/>
    </xf>
    <xf numFmtId="167" fontId="6" fillId="0" borderId="0" xfId="0" applyNumberFormat="1" applyFont="1">
      <alignment vertical="center"/>
    </xf>
    <xf numFmtId="0" fontId="26" fillId="0" borderId="0" xfId="0" applyFont="1">
      <alignment vertical="center"/>
    </xf>
    <xf numFmtId="0" fontId="27" fillId="0" borderId="22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left" vertical="center" wrapText="1"/>
    </xf>
    <xf numFmtId="164" fontId="28" fillId="0" borderId="28" xfId="0" applyNumberFormat="1" applyFont="1" applyBorder="1" applyAlignment="1">
      <alignment horizontal="right" vertical="center" wrapText="1"/>
    </xf>
    <xf numFmtId="164" fontId="29" fillId="0" borderId="28" xfId="0" applyNumberFormat="1" applyFont="1" applyBorder="1">
      <alignment vertical="center"/>
    </xf>
    <xf numFmtId="164" fontId="29" fillId="0" borderId="29" xfId="0" applyNumberFormat="1" applyFont="1" applyBorder="1">
      <alignment vertical="center"/>
    </xf>
    <xf numFmtId="164" fontId="30" fillId="0" borderId="0" xfId="0" applyNumberFormat="1" applyFont="1" applyAlignment="1">
      <alignment horizontal="center" vertical="center"/>
    </xf>
    <xf numFmtId="164" fontId="26" fillId="0" borderId="0" xfId="0" applyNumberFormat="1" applyFont="1">
      <alignment vertical="center"/>
    </xf>
    <xf numFmtId="0" fontId="31" fillId="0" borderId="28" xfId="0" applyFont="1" applyBorder="1" applyAlignment="1">
      <alignment horizontal="left" vertical="center" wrapText="1"/>
    </xf>
    <xf numFmtId="164" fontId="31" fillId="0" borderId="29" xfId="0" applyNumberFormat="1" applyFont="1" applyBorder="1" applyAlignment="1">
      <alignment horizontal="right" vertical="center" wrapText="1"/>
    </xf>
    <xf numFmtId="166" fontId="32" fillId="0" borderId="0" xfId="0" applyNumberFormat="1" applyFont="1" applyAlignment="1">
      <alignment horizontal="center" vertical="center"/>
    </xf>
    <xf numFmtId="0" fontId="33" fillId="0" borderId="0" xfId="0" applyFont="1">
      <alignment vertical="center"/>
    </xf>
    <xf numFmtId="0" fontId="13" fillId="0" borderId="28" xfId="0" applyFont="1" applyBorder="1" applyAlignment="1">
      <alignment horizontal="left" vertical="center" wrapText="1"/>
    </xf>
    <xf numFmtId="4" fontId="34" fillId="0" borderId="0" xfId="0" applyNumberFormat="1" applyFont="1">
      <alignment vertical="center"/>
    </xf>
    <xf numFmtId="0" fontId="34" fillId="0" borderId="0" xfId="0" applyFont="1">
      <alignment vertical="center"/>
    </xf>
    <xf numFmtId="0" fontId="2" fillId="0" borderId="28" xfId="0" applyFont="1" applyBorder="1" applyAlignment="1">
      <alignment vertical="center" wrapText="1"/>
    </xf>
    <xf numFmtId="164" fontId="35" fillId="0" borderId="28" xfId="0" applyNumberFormat="1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5" fillId="0" borderId="28" xfId="0" applyFont="1" applyBorder="1" applyAlignment="1">
      <alignment vertical="center" wrapText="1"/>
    </xf>
    <xf numFmtId="164" fontId="24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13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164" fontId="24" fillId="0" borderId="0" xfId="0" applyNumberFormat="1" applyFont="1" applyAlignment="1">
      <alignment horizontal="right" vertical="center"/>
    </xf>
    <xf numFmtId="166" fontId="6" fillId="0" borderId="0" xfId="0" applyNumberFormat="1" applyFont="1">
      <alignment vertical="center"/>
    </xf>
    <xf numFmtId="171" fontId="6" fillId="0" borderId="0" xfId="0" applyNumberFormat="1" applyFont="1">
      <alignment vertical="center"/>
    </xf>
    <xf numFmtId="49" fontId="3" fillId="0" borderId="22" xfId="0" applyNumberFormat="1" applyFont="1" applyBorder="1" applyAlignment="1">
      <alignment horizontal="center" vertical="center" wrapText="1"/>
    </xf>
    <xf numFmtId="171" fontId="6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6" fontId="36" fillId="0" borderId="0" xfId="0" applyNumberFormat="1" applyFont="1" applyAlignment="1">
      <alignment horizontal="center" vertical="center"/>
    </xf>
    <xf numFmtId="0" fontId="37" fillId="0" borderId="0" xfId="0" applyFont="1">
      <alignment vertical="center"/>
    </xf>
    <xf numFmtId="164" fontId="38" fillId="0" borderId="28" xfId="0" applyNumberFormat="1" applyFont="1" applyBorder="1">
      <alignment vertical="center"/>
    </xf>
    <xf numFmtId="164" fontId="38" fillId="0" borderId="29" xfId="0" applyNumberFormat="1" applyFont="1" applyBorder="1">
      <alignment vertical="center"/>
    </xf>
    <xf numFmtId="164" fontId="39" fillId="0" borderId="0" xfId="0" applyNumberFormat="1" applyFont="1" applyAlignment="1">
      <alignment horizontal="center" vertical="center"/>
    </xf>
    <xf numFmtId="164" fontId="37" fillId="0" borderId="0" xfId="0" applyNumberFormat="1" applyFont="1">
      <alignment vertical="center"/>
    </xf>
    <xf numFmtId="164" fontId="40" fillId="0" borderId="28" xfId="0" applyNumberFormat="1" applyFont="1" applyBorder="1" applyAlignment="1">
      <alignment horizontal="right" vertical="center" wrapText="1"/>
    </xf>
    <xf numFmtId="0" fontId="41" fillId="0" borderId="0" xfId="0" applyFont="1">
      <alignment vertical="center"/>
    </xf>
    <xf numFmtId="171" fontId="41" fillId="0" borderId="0" xfId="0" applyNumberFormat="1" applyFont="1">
      <alignment vertical="center"/>
    </xf>
    <xf numFmtId="164" fontId="41" fillId="0" borderId="0" xfId="0" applyNumberFormat="1" applyFont="1">
      <alignment vertical="center"/>
    </xf>
    <xf numFmtId="166" fontId="24" fillId="0" borderId="0" xfId="0" applyNumberFormat="1" applyFont="1" applyAlignment="1">
      <alignment horizontal="center" vertical="center"/>
    </xf>
    <xf numFmtId="164" fontId="35" fillId="0" borderId="29" xfId="0" applyNumberFormat="1" applyFont="1" applyBorder="1">
      <alignment vertical="center"/>
    </xf>
    <xf numFmtId="164" fontId="42" fillId="0" borderId="0" xfId="0" applyNumberFormat="1" applyFont="1" applyAlignment="1">
      <alignment horizontal="center" vertical="center"/>
    </xf>
    <xf numFmtId="0" fontId="43" fillId="0" borderId="28" xfId="0" applyFont="1" applyBorder="1" applyAlignment="1">
      <alignment vertical="center" wrapText="1"/>
    </xf>
    <xf numFmtId="164" fontId="35" fillId="0" borderId="28" xfId="0" applyNumberFormat="1" applyFont="1" applyBorder="1" applyAlignment="1">
      <alignment horizontal="right" vertical="center" wrapText="1"/>
    </xf>
    <xf numFmtId="164" fontId="2" fillId="0" borderId="28" xfId="0" applyNumberFormat="1" applyFont="1" applyBorder="1">
      <alignment vertical="center"/>
    </xf>
    <xf numFmtId="164" fontId="2" fillId="0" borderId="29" xfId="0" applyNumberFormat="1" applyFont="1" applyBorder="1">
      <alignment vertical="center"/>
    </xf>
    <xf numFmtId="164" fontId="34" fillId="0" borderId="0" xfId="0" applyNumberFormat="1" applyFont="1">
      <alignment vertical="center"/>
    </xf>
    <xf numFmtId="164" fontId="44" fillId="0" borderId="28" xfId="0" applyNumberFormat="1" applyFont="1" applyBorder="1" applyAlignment="1">
      <alignment horizontal="right" vertical="center"/>
    </xf>
    <xf numFmtId="164" fontId="44" fillId="0" borderId="29" xfId="0" applyNumberFormat="1" applyFont="1" applyBorder="1" applyAlignment="1">
      <alignment horizontal="right" vertical="center"/>
    </xf>
    <xf numFmtId="172" fontId="3" fillId="0" borderId="22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164" fontId="25" fillId="0" borderId="28" xfId="0" applyNumberFormat="1" applyFont="1" applyBorder="1" applyAlignment="1">
      <alignment horizontal="right" vertical="center" wrapText="1"/>
    </xf>
    <xf numFmtId="164" fontId="25" fillId="0" borderId="28" xfId="0" applyNumberFormat="1" applyFont="1" applyBorder="1" applyAlignment="1">
      <alignment horizontal="right" vertical="center"/>
    </xf>
    <xf numFmtId="164" fontId="25" fillId="0" borderId="29" xfId="0" applyNumberFormat="1" applyFont="1" applyBorder="1" applyAlignment="1">
      <alignment horizontal="right" vertical="center"/>
    </xf>
    <xf numFmtId="173" fontId="24" fillId="0" borderId="0" xfId="0" applyNumberFormat="1" applyFont="1" applyAlignment="1">
      <alignment horizontal="center" vertical="center"/>
    </xf>
    <xf numFmtId="164" fontId="25" fillId="0" borderId="29" xfId="0" applyNumberFormat="1" applyFont="1" applyBorder="1" applyAlignment="1">
      <alignment vertical="center" wrapText="1"/>
    </xf>
    <xf numFmtId="164" fontId="44" fillId="0" borderId="0" xfId="0" applyNumberFormat="1" applyFont="1" applyAlignment="1">
      <alignment horizontal="center" vertical="center"/>
    </xf>
    <xf numFmtId="164" fontId="25" fillId="0" borderId="29" xfId="0" applyNumberFormat="1" applyFont="1" applyBorder="1" applyAlignment="1">
      <alignment horizontal="right" vertical="center" wrapText="1"/>
    </xf>
    <xf numFmtId="0" fontId="45" fillId="0" borderId="28" xfId="0" applyFont="1" applyBorder="1" applyAlignment="1">
      <alignment vertical="center" wrapText="1"/>
    </xf>
    <xf numFmtId="164" fontId="45" fillId="0" borderId="28" xfId="0" applyNumberFormat="1" applyFont="1" applyBorder="1" applyAlignment="1">
      <alignment horizontal="right" vertical="center" wrapText="1"/>
    </xf>
    <xf numFmtId="164" fontId="46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28" xfId="0" applyFont="1" applyBorder="1" applyAlignment="1">
      <alignment vertical="center" wrapText="1"/>
    </xf>
    <xf numFmtId="0" fontId="47" fillId="0" borderId="0" xfId="0" applyFont="1">
      <alignment vertical="center"/>
    </xf>
    <xf numFmtId="0" fontId="48" fillId="0" borderId="28" xfId="0" applyFont="1" applyBorder="1" applyAlignment="1">
      <alignment vertical="center" wrapText="1"/>
    </xf>
    <xf numFmtId="164" fontId="48" fillId="0" borderId="28" xfId="0" applyNumberFormat="1" applyFont="1" applyBorder="1" applyAlignment="1">
      <alignment horizontal="right" vertical="center" wrapText="1"/>
    </xf>
    <xf numFmtId="164" fontId="48" fillId="0" borderId="28" xfId="0" applyNumberFormat="1" applyFont="1" applyBorder="1">
      <alignment vertical="center"/>
    </xf>
    <xf numFmtId="164" fontId="48" fillId="0" borderId="29" xfId="0" applyNumberFormat="1" applyFont="1" applyBorder="1" applyAlignment="1">
      <alignment horizontal="right" vertical="center" wrapText="1"/>
    </xf>
    <xf numFmtId="164" fontId="46" fillId="0" borderId="0" xfId="0" applyNumberFormat="1" applyFont="1" applyAlignment="1">
      <alignment horizontal="center" vertical="center" wrapText="1"/>
    </xf>
    <xf numFmtId="164" fontId="47" fillId="0" borderId="0" xfId="0" applyNumberFormat="1" applyFont="1">
      <alignment vertical="center"/>
    </xf>
    <xf numFmtId="164" fontId="2" fillId="0" borderId="29" xfId="0" applyNumberFormat="1" applyFont="1" applyBorder="1" applyAlignment="1">
      <alignment horizontal="right" vertical="center" wrapText="1"/>
    </xf>
    <xf numFmtId="167" fontId="42" fillId="0" borderId="0" xfId="0" applyNumberFormat="1" applyFont="1" applyAlignment="1">
      <alignment horizontal="center" vertical="center"/>
    </xf>
    <xf numFmtId="174" fontId="3" fillId="0" borderId="22" xfId="0" applyNumberFormat="1" applyFont="1" applyBorder="1" applyAlignment="1">
      <alignment horizontal="center" vertical="center" wrapText="1"/>
    </xf>
    <xf numFmtId="0" fontId="44" fillId="0" borderId="28" xfId="0" applyFont="1" applyBorder="1" applyAlignment="1">
      <alignment vertical="center" wrapText="1"/>
    </xf>
    <xf numFmtId="164" fontId="44" fillId="0" borderId="28" xfId="0" applyNumberFormat="1" applyFont="1" applyBorder="1" applyAlignment="1">
      <alignment horizontal="right" vertical="center" wrapText="1"/>
    </xf>
    <xf numFmtId="164" fontId="11" fillId="0" borderId="28" xfId="0" applyNumberFormat="1" applyFont="1" applyBorder="1" applyAlignment="1">
      <alignment horizontal="right" vertical="center"/>
    </xf>
    <xf numFmtId="164" fontId="44" fillId="0" borderId="29" xfId="0" applyNumberFormat="1" applyFont="1" applyBorder="1" applyAlignment="1">
      <alignment horizontal="right" vertical="center" wrapText="1"/>
    </xf>
    <xf numFmtId="0" fontId="49" fillId="0" borderId="0" xfId="0" applyFont="1">
      <alignment vertical="center"/>
    </xf>
    <xf numFmtId="0" fontId="9" fillId="0" borderId="28" xfId="0" applyFont="1" applyBorder="1" applyAlignment="1">
      <alignment vertical="center" wrapText="1"/>
    </xf>
    <xf numFmtId="164" fontId="11" fillId="0" borderId="28" xfId="0" applyNumberFormat="1" applyFont="1" applyBorder="1" applyAlignment="1">
      <alignment horizontal="right" vertical="center" wrapText="1"/>
    </xf>
    <xf numFmtId="164" fontId="11" fillId="0" borderId="29" xfId="0" applyNumberFormat="1" applyFont="1" applyBorder="1" applyAlignment="1">
      <alignment horizontal="right" vertical="center" wrapText="1"/>
    </xf>
    <xf numFmtId="164" fontId="50" fillId="0" borderId="0" xfId="0" applyNumberFormat="1" applyFont="1" applyAlignment="1">
      <alignment horizontal="center" vertical="center"/>
    </xf>
    <xf numFmtId="0" fontId="51" fillId="0" borderId="0" xfId="0" applyFont="1">
      <alignment vertical="center"/>
    </xf>
    <xf numFmtId="0" fontId="52" fillId="0" borderId="28" xfId="0" applyFont="1" applyBorder="1" applyAlignment="1">
      <alignment vertical="center" wrapText="1"/>
    </xf>
    <xf numFmtId="164" fontId="53" fillId="0" borderId="28" xfId="0" applyNumberFormat="1" applyFont="1" applyBorder="1" applyAlignment="1">
      <alignment horizontal="right" vertical="center" wrapText="1"/>
    </xf>
    <xf numFmtId="164" fontId="53" fillId="0" borderId="28" xfId="0" applyNumberFormat="1" applyFont="1" applyBorder="1">
      <alignment vertical="center"/>
    </xf>
    <xf numFmtId="164" fontId="53" fillId="0" borderId="29" xfId="0" applyNumberFormat="1" applyFont="1" applyBorder="1" applyAlignment="1">
      <alignment horizontal="right" vertical="center" wrapText="1"/>
    </xf>
    <xf numFmtId="164" fontId="54" fillId="0" borderId="0" xfId="0" applyNumberFormat="1" applyFont="1" applyAlignment="1">
      <alignment horizontal="center" vertical="center"/>
    </xf>
    <xf numFmtId="164" fontId="51" fillId="0" borderId="0" xfId="0" applyNumberFormat="1" applyFont="1">
      <alignment vertical="center"/>
    </xf>
    <xf numFmtId="164" fontId="35" fillId="0" borderId="29" xfId="0" applyNumberFormat="1" applyFont="1" applyBorder="1" applyAlignment="1">
      <alignment horizontal="right" vertical="center" wrapText="1"/>
    </xf>
    <xf numFmtId="0" fontId="36" fillId="0" borderId="22" xfId="0" applyFont="1" applyBorder="1" applyAlignment="1">
      <alignment horizontal="center" vertical="center"/>
    </xf>
    <xf numFmtId="164" fontId="11" fillId="0" borderId="28" xfId="0" applyNumberFormat="1" applyFont="1" applyBorder="1">
      <alignment vertical="center"/>
    </xf>
    <xf numFmtId="164" fontId="11" fillId="0" borderId="29" xfId="0" applyNumberFormat="1" applyFont="1" applyBorder="1">
      <alignment vertical="center"/>
    </xf>
    <xf numFmtId="0" fontId="6" fillId="0" borderId="22" xfId="0" applyFont="1" applyBorder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4" fontId="29" fillId="0" borderId="28" xfId="0" applyNumberFormat="1" applyFont="1" applyBorder="1" applyAlignment="1">
      <alignment horizontal="right" vertical="center"/>
    </xf>
    <xf numFmtId="164" fontId="28" fillId="0" borderId="28" xfId="0" applyNumberFormat="1" applyFont="1" applyBorder="1">
      <alignment vertical="center"/>
    </xf>
    <xf numFmtId="164" fontId="28" fillId="0" borderId="29" xfId="0" applyNumberFormat="1" applyFont="1" applyBorder="1">
      <alignment vertical="center"/>
    </xf>
    <xf numFmtId="165" fontId="24" fillId="0" borderId="0" xfId="0" applyNumberFormat="1" applyFont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67" fontId="24" fillId="0" borderId="0" xfId="0" applyNumberFormat="1" applyFont="1" applyAlignment="1">
      <alignment horizontal="center" vertical="center"/>
    </xf>
    <xf numFmtId="0" fontId="55" fillId="0" borderId="22" xfId="0" applyFont="1" applyBorder="1" applyAlignment="1">
      <alignment horizontal="center" vertical="center" wrapText="1"/>
    </xf>
    <xf numFmtId="164" fontId="31" fillId="0" borderId="28" xfId="0" applyNumberFormat="1" applyFont="1" applyBorder="1" applyAlignment="1">
      <alignment horizontal="right" vertical="center" wrapText="1"/>
    </xf>
    <xf numFmtId="164" fontId="31" fillId="0" borderId="28" xfId="0" applyNumberFormat="1" applyFont="1" applyBorder="1" applyAlignment="1">
      <alignment horizontal="right" vertical="center"/>
    </xf>
    <xf numFmtId="164" fontId="31" fillId="0" borderId="28" xfId="0" applyNumberFormat="1" applyFont="1" applyBorder="1">
      <alignment vertical="center"/>
    </xf>
    <xf numFmtId="164" fontId="31" fillId="0" borderId="29" xfId="0" applyNumberFormat="1" applyFont="1" applyBorder="1">
      <alignment vertical="center"/>
    </xf>
    <xf numFmtId="0" fontId="31" fillId="0" borderId="28" xfId="0" applyFont="1" applyBorder="1" applyAlignment="1">
      <alignment wrapText="1"/>
    </xf>
    <xf numFmtId="170" fontId="34" fillId="0" borderId="0" xfId="0" applyNumberFormat="1" applyFont="1">
      <alignment vertical="center"/>
    </xf>
    <xf numFmtId="164" fontId="56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left" vertical="center"/>
    </xf>
    <xf numFmtId="170" fontId="24" fillId="0" borderId="0" xfId="0" applyNumberFormat="1" applyFont="1" applyAlignment="1">
      <alignment horizontal="center" vertical="center"/>
    </xf>
    <xf numFmtId="164" fontId="11" fillId="0" borderId="29" xfId="0" applyNumberFormat="1" applyFont="1" applyBorder="1" applyAlignment="1">
      <alignment horizontal="right" vertical="center"/>
    </xf>
    <xf numFmtId="0" fontId="57" fillId="0" borderId="22" xfId="0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right" vertical="center"/>
    </xf>
    <xf numFmtId="164" fontId="2" fillId="0" borderId="29" xfId="0" applyNumberFormat="1" applyFont="1" applyBorder="1" applyAlignment="1">
      <alignment horizontal="right" vertical="center"/>
    </xf>
    <xf numFmtId="164" fontId="35" fillId="0" borderId="29" xfId="0" applyNumberFormat="1" applyFont="1" applyBorder="1" applyAlignment="1">
      <alignment horizontal="right" vertical="center"/>
    </xf>
    <xf numFmtId="165" fontId="2" fillId="0" borderId="29" xfId="0" applyNumberFormat="1" applyFont="1" applyBorder="1">
      <alignment vertical="center"/>
    </xf>
    <xf numFmtId="164" fontId="58" fillId="0" borderId="0" xfId="0" applyNumberFormat="1" applyFont="1" applyAlignment="1">
      <alignment horizontal="center" vertical="center"/>
    </xf>
    <xf numFmtId="165" fontId="25" fillId="0" borderId="29" xfId="0" applyNumberFormat="1" applyFont="1" applyBorder="1">
      <alignment vertical="center"/>
    </xf>
    <xf numFmtId="164" fontId="42" fillId="0" borderId="0" xfId="0" applyNumberFormat="1" applyFont="1" applyAlignment="1">
      <alignment horizontal="center" vertical="center" wrapText="1"/>
    </xf>
    <xf numFmtId="167" fontId="34" fillId="0" borderId="0" xfId="0" applyNumberFormat="1" applyFont="1">
      <alignment vertical="center"/>
    </xf>
    <xf numFmtId="164" fontId="44" fillId="0" borderId="29" xfId="0" applyNumberFormat="1" applyFont="1" applyBorder="1">
      <alignment vertical="center"/>
    </xf>
    <xf numFmtId="164" fontId="59" fillId="0" borderId="0" xfId="0" applyNumberFormat="1" applyFont="1" applyAlignment="1">
      <alignment horizontal="center" vertical="center"/>
    </xf>
    <xf numFmtId="4" fontId="36" fillId="0" borderId="0" xfId="0" applyNumberFormat="1" applyFont="1">
      <alignment vertical="center"/>
    </xf>
    <xf numFmtId="0" fontId="1" fillId="0" borderId="28" xfId="0" applyFont="1" applyBorder="1" applyAlignment="1">
      <alignment wrapText="1"/>
    </xf>
    <xf numFmtId="0" fontId="2" fillId="0" borderId="28" xfId="0" applyFont="1" applyBorder="1" applyAlignment="1">
      <alignment wrapText="1"/>
    </xf>
    <xf numFmtId="175" fontId="60" fillId="0" borderId="22" xfId="0" applyNumberFormat="1" applyFont="1" applyBorder="1" applyAlignment="1">
      <alignment horizontal="center" vertical="center"/>
    </xf>
    <xf numFmtId="164" fontId="50" fillId="0" borderId="0" xfId="0" applyNumberFormat="1" applyFont="1" applyAlignment="1">
      <alignment horizontal="right" vertical="center"/>
    </xf>
    <xf numFmtId="164" fontId="59" fillId="0" borderId="0" xfId="0" applyNumberFormat="1" applyFont="1" applyAlignment="1">
      <alignment horizontal="right" vertical="center"/>
    </xf>
    <xf numFmtId="0" fontId="6" fillId="2" borderId="0" xfId="0" applyFont="1" applyFill="1">
      <alignment vertical="center"/>
    </xf>
    <xf numFmtId="172" fontId="6" fillId="2" borderId="22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 wrapText="1"/>
    </xf>
    <xf numFmtId="164" fontId="35" fillId="2" borderId="28" xfId="0" applyNumberFormat="1" applyFont="1" applyFill="1" applyBorder="1">
      <alignment vertical="center"/>
    </xf>
    <xf numFmtId="0" fontId="6" fillId="2" borderId="2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vertical="center" wrapText="1"/>
    </xf>
    <xf numFmtId="0" fontId="61" fillId="0" borderId="0" xfId="0" applyFont="1">
      <alignment vertical="center"/>
    </xf>
    <xf numFmtId="164" fontId="61" fillId="0" borderId="0" xfId="0" applyNumberFormat="1" applyFont="1">
      <alignment vertical="center"/>
    </xf>
    <xf numFmtId="0" fontId="6" fillId="0" borderId="46" xfId="0" applyFont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6" fillId="0" borderId="28" xfId="0" applyFont="1" applyBorder="1" applyAlignment="1">
      <alignment horizontal="center" vertical="center"/>
    </xf>
    <xf numFmtId="0" fontId="43" fillId="2" borderId="28" xfId="0" applyFont="1" applyFill="1" applyBorder="1" applyAlignment="1">
      <alignment horizontal="left" vertical="center" wrapText="1"/>
    </xf>
    <xf numFmtId="164" fontId="1" fillId="0" borderId="32" xfId="0" applyNumberFormat="1" applyFont="1" applyBorder="1" applyAlignment="1">
      <alignment horizontal="right" vertical="center"/>
    </xf>
    <xf numFmtId="164" fontId="62" fillId="3" borderId="0" xfId="0" applyNumberFormat="1" applyFont="1" applyFill="1" applyAlignment="1">
      <alignment horizontal="center" vertical="center"/>
    </xf>
    <xf numFmtId="0" fontId="1" fillId="2" borderId="28" xfId="0" applyFont="1" applyFill="1" applyBorder="1" applyAlignment="1">
      <alignment vertical="center" wrapText="1"/>
    </xf>
    <xf numFmtId="164" fontId="1" fillId="0" borderId="41" xfId="0" applyNumberFormat="1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1" fillId="3" borderId="28" xfId="0" applyFont="1" applyFill="1" applyBorder="1" applyAlignment="1">
      <alignment horizontal="left" vertical="center" wrapText="1"/>
    </xf>
    <xf numFmtId="172" fontId="6" fillId="0" borderId="22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49" fillId="0" borderId="22" xfId="0" applyFont="1" applyBorder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49" fillId="0" borderId="0" xfId="0" applyNumberFormat="1" applyFont="1">
      <alignment vertical="center"/>
    </xf>
    <xf numFmtId="0" fontId="63" fillId="0" borderId="22" xfId="0" applyFont="1" applyBorder="1" applyAlignment="1">
      <alignment horizontal="center" vertical="center"/>
    </xf>
    <xf numFmtId="0" fontId="13" fillId="0" borderId="31" xfId="0" applyFont="1" applyBorder="1" applyAlignment="1">
      <alignment vertical="center" wrapText="1"/>
    </xf>
    <xf numFmtId="0" fontId="63" fillId="0" borderId="0" xfId="0" applyFont="1">
      <alignment vertical="center"/>
    </xf>
    <xf numFmtId="164" fontId="63" fillId="0" borderId="0" xfId="0" applyNumberFormat="1" applyFont="1">
      <alignment vertical="center"/>
    </xf>
    <xf numFmtId="164" fontId="11" fillId="2" borderId="28" xfId="0" applyNumberFormat="1" applyFont="1" applyFill="1" applyBorder="1">
      <alignment vertical="center"/>
    </xf>
    <xf numFmtId="0" fontId="64" fillId="0" borderId="0" xfId="0" applyFont="1">
      <alignment vertical="center"/>
    </xf>
    <xf numFmtId="49" fontId="65" fillId="0" borderId="22" xfId="0" applyNumberFormat="1" applyFont="1" applyBorder="1" applyAlignment="1">
      <alignment horizontal="center" vertical="center"/>
    </xf>
    <xf numFmtId="164" fontId="64" fillId="0" borderId="0" xfId="0" applyNumberFormat="1" applyFont="1">
      <alignment vertical="center"/>
    </xf>
    <xf numFmtId="0" fontId="66" fillId="0" borderId="0" xfId="0" applyFont="1">
      <alignment vertical="center"/>
    </xf>
    <xf numFmtId="164" fontId="67" fillId="0" borderId="0" xfId="0" applyNumberFormat="1" applyFont="1" applyAlignment="1">
      <alignment horizontal="center" vertical="center"/>
    </xf>
    <xf numFmtId="0" fontId="67" fillId="0" borderId="0" xfId="0" applyFont="1">
      <alignment vertical="center"/>
    </xf>
    <xf numFmtId="49" fontId="65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8" xfId="0" applyFont="1" applyFill="1" applyBorder="1" applyAlignment="1" applyProtection="1">
      <alignment vertical="center" wrapText="1"/>
      <protection locked="0"/>
    </xf>
    <xf numFmtId="164" fontId="2" fillId="0" borderId="28" xfId="0" applyNumberFormat="1" applyFont="1" applyBorder="1" applyProtection="1">
      <alignment vertical="center"/>
      <protection locked="0"/>
    </xf>
    <xf numFmtId="164" fontId="2" fillId="0" borderId="29" xfId="0" applyNumberFormat="1" applyFont="1" applyBorder="1" applyProtection="1">
      <alignment vertical="center"/>
      <protection locked="0"/>
    </xf>
    <xf numFmtId="166" fontId="36" fillId="0" borderId="0" xfId="0" applyNumberFormat="1" applyFont="1">
      <alignment vertical="center"/>
    </xf>
    <xf numFmtId="165" fontId="6" fillId="0" borderId="0" xfId="0" applyNumberFormat="1" applyFont="1">
      <alignment vertical="center"/>
    </xf>
    <xf numFmtId="164" fontId="36" fillId="0" borderId="0" xfId="0" applyNumberFormat="1" applyFont="1">
      <alignment vertical="center"/>
    </xf>
    <xf numFmtId="164" fontId="24" fillId="3" borderId="0" xfId="0" applyNumberFormat="1" applyFont="1" applyFill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49" fontId="68" fillId="0" borderId="22" xfId="0" applyNumberFormat="1" applyFont="1" applyBorder="1" applyAlignment="1">
      <alignment horizontal="center" vertical="center"/>
    </xf>
    <xf numFmtId="164" fontId="69" fillId="0" borderId="0" xfId="0" applyNumberFormat="1" applyFont="1" applyAlignment="1">
      <alignment horizontal="center" vertical="center"/>
    </xf>
    <xf numFmtId="0" fontId="43" fillId="2" borderId="28" xfId="0" applyFont="1" applyFill="1" applyBorder="1" applyAlignment="1">
      <alignment vertical="center" wrapText="1"/>
    </xf>
    <xf numFmtId="0" fontId="43" fillId="2" borderId="22" xfId="0" applyFont="1" applyFill="1" applyBorder="1" applyAlignment="1">
      <alignment horizontal="left" vertical="center" wrapText="1"/>
    </xf>
    <xf numFmtId="0" fontId="1" fillId="2" borderId="41" xfId="0" applyFont="1" applyFill="1" applyBorder="1" applyAlignment="1">
      <alignment horizontal="left" vertical="center" wrapText="1"/>
    </xf>
    <xf numFmtId="169" fontId="6" fillId="0" borderId="0" xfId="0" applyNumberFormat="1" applyFont="1">
      <alignment vertical="center"/>
    </xf>
    <xf numFmtId="0" fontId="36" fillId="0" borderId="0" xfId="0" applyFont="1">
      <alignment vertical="center"/>
    </xf>
    <xf numFmtId="176" fontId="6" fillId="0" borderId="22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2" fillId="0" borderId="0" xfId="0" applyNumberFormat="1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22" fillId="0" borderId="0" xfId="0" applyFont="1" applyAlignment="1">
      <alignment horizontal="right" vertical="center"/>
    </xf>
    <xf numFmtId="0" fontId="2" fillId="0" borderId="0" xfId="0" applyFont="1" applyAlignment="1"/>
    <xf numFmtId="0" fontId="24" fillId="0" borderId="0" xfId="0" applyFont="1">
      <alignment vertical="center"/>
    </xf>
    <xf numFmtId="0" fontId="2" fillId="0" borderId="0" xfId="0" applyFont="1" applyAlignment="1">
      <alignment horizontal="left" vertical="center" indent="15"/>
    </xf>
    <xf numFmtId="0" fontId="70" fillId="0" borderId="28" xfId="0" applyFont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wrapText="1"/>
    </xf>
    <xf numFmtId="0" fontId="22" fillId="0" borderId="28" xfId="0" applyFont="1" applyBorder="1" applyAlignment="1">
      <alignment horizontal="center" vertical="center"/>
    </xf>
    <xf numFmtId="3" fontId="22" fillId="0" borderId="28" xfId="0" applyNumberFormat="1" applyFont="1" applyBorder="1" applyAlignment="1">
      <alignment horizontal="center" vertical="center"/>
    </xf>
    <xf numFmtId="3" fontId="71" fillId="0" borderId="0" xfId="0" applyNumberFormat="1" applyFont="1" applyAlignment="1">
      <alignment horizontal="center" vertical="center"/>
    </xf>
    <xf numFmtId="3" fontId="35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22" fillId="0" borderId="28" xfId="0" applyNumberFormat="1" applyFont="1" applyBorder="1" applyAlignment="1">
      <alignment horizontal="center" vertical="center"/>
    </xf>
    <xf numFmtId="165" fontId="22" fillId="0" borderId="28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0" fontId="35" fillId="0" borderId="0" xfId="0" applyNumberFormat="1" applyFont="1" applyAlignment="1">
      <alignment horizontal="center" vertical="center"/>
    </xf>
    <xf numFmtId="170" fontId="2" fillId="0" borderId="0" xfId="0" applyNumberFormat="1" applyFont="1" applyAlignment="1"/>
    <xf numFmtId="4" fontId="22" fillId="0" borderId="28" xfId="0" applyNumberFormat="1" applyFont="1" applyBorder="1" applyAlignment="1">
      <alignment horizontal="center" vertical="center"/>
    </xf>
    <xf numFmtId="165" fontId="2" fillId="0" borderId="0" xfId="0" applyNumberFormat="1" applyFont="1" applyAlignment="1"/>
    <xf numFmtId="0" fontId="4" fillId="0" borderId="0" xfId="0" applyFont="1" applyAlignment="1"/>
    <xf numFmtId="0" fontId="21" fillId="0" borderId="0" xfId="0" applyFont="1" applyAlignment="1"/>
    <xf numFmtId="0" fontId="4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0" applyFont="1" applyAlignment="1"/>
    <xf numFmtId="0" fontId="22" fillId="0" borderId="0" xfId="0" applyFont="1" applyAlignment="1">
      <alignment horizontal="left"/>
    </xf>
    <xf numFmtId="0" fontId="72" fillId="0" borderId="0" xfId="0" applyFont="1" applyAlignment="1"/>
    <xf numFmtId="0" fontId="2" fillId="0" borderId="0" xfId="0" applyFont="1" applyAlignment="1">
      <alignment horizontal="right"/>
    </xf>
    <xf numFmtId="0" fontId="11" fillId="0" borderId="0" xfId="0" applyFont="1" applyAlignment="1"/>
    <xf numFmtId="10" fontId="11" fillId="0" borderId="0" xfId="0" applyNumberFormat="1" applyFont="1" applyAlignment="1"/>
    <xf numFmtId="10" fontId="2" fillId="0" borderId="0" xfId="0" applyNumberFormat="1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8" xfId="0" applyFont="1" applyBorder="1" applyAlignment="1">
      <alignment horizontal="center" vertical="center" wrapText="1"/>
    </xf>
    <xf numFmtId="170" fontId="2" fillId="0" borderId="2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4" borderId="0" xfId="0" applyFont="1" applyFill="1">
      <alignment vertical="center"/>
    </xf>
    <xf numFmtId="0" fontId="9" fillId="4" borderId="28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left" vertical="center" wrapText="1"/>
    </xf>
    <xf numFmtId="0" fontId="9" fillId="4" borderId="28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vertical="center" wrapText="1"/>
    </xf>
    <xf numFmtId="0" fontId="1" fillId="4" borderId="28" xfId="0" applyFont="1" applyFill="1" applyBorder="1" applyAlignment="1">
      <alignment horizontal="left" vertical="center" wrapText="1"/>
    </xf>
    <xf numFmtId="4" fontId="1" fillId="4" borderId="25" xfId="0" applyNumberFormat="1" applyFont="1" applyFill="1" applyBorder="1">
      <alignment vertical="center"/>
    </xf>
    <xf numFmtId="0" fontId="1" fillId="4" borderId="28" xfId="0" applyFont="1" applyFill="1" applyBorder="1">
      <alignment vertical="center"/>
    </xf>
    <xf numFmtId="4" fontId="1" fillId="4" borderId="28" xfId="0" applyNumberFormat="1" applyFont="1" applyFill="1" applyBorder="1">
      <alignment vertical="center"/>
    </xf>
    <xf numFmtId="0" fontId="36" fillId="4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9" fillId="4" borderId="28" xfId="0" applyNumberFormat="1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>
      <alignment horizontal="center" vertical="center" wrapText="1"/>
    </xf>
    <xf numFmtId="0" fontId="6" fillId="5" borderId="0" xfId="0" applyFont="1" applyFill="1">
      <alignment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vertical="center" wrapText="1"/>
    </xf>
    <xf numFmtId="0" fontId="1" fillId="5" borderId="28" xfId="0" applyFont="1" applyFill="1" applyBorder="1" applyAlignment="1">
      <alignment horizontal="left" vertical="center" wrapText="1"/>
    </xf>
    <xf numFmtId="4" fontId="1" fillId="5" borderId="28" xfId="0" applyNumberFormat="1" applyFont="1" applyFill="1" applyBorder="1">
      <alignment vertical="center"/>
    </xf>
    <xf numFmtId="0" fontId="1" fillId="5" borderId="28" xfId="0" applyFont="1" applyFill="1" applyBorder="1">
      <alignment vertical="center"/>
    </xf>
    <xf numFmtId="4" fontId="1" fillId="5" borderId="25" xfId="0" applyNumberFormat="1" applyFont="1" applyFill="1" applyBorder="1">
      <alignment vertical="center"/>
    </xf>
    <xf numFmtId="0" fontId="13" fillId="5" borderId="28" xfId="0" applyFont="1" applyFill="1" applyBorder="1" applyAlignment="1">
      <alignment vertical="center" wrapText="1"/>
    </xf>
    <xf numFmtId="0" fontId="13" fillId="5" borderId="28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left" vertical="center" wrapText="1"/>
    </xf>
    <xf numFmtId="4" fontId="13" fillId="5" borderId="28" xfId="0" applyNumberFormat="1" applyFont="1" applyFill="1" applyBorder="1">
      <alignment vertical="center"/>
    </xf>
    <xf numFmtId="0" fontId="13" fillId="5" borderId="28" xfId="0" applyFont="1" applyFill="1" applyBorder="1">
      <alignment vertical="center"/>
    </xf>
    <xf numFmtId="4" fontId="13" fillId="5" borderId="25" xfId="0" applyNumberFormat="1" applyFont="1" applyFill="1" applyBorder="1">
      <alignment vertical="center"/>
    </xf>
    <xf numFmtId="0" fontId="36" fillId="5" borderId="0" xfId="0" applyFont="1" applyFill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 wrapText="1"/>
    </xf>
    <xf numFmtId="3" fontId="9" fillId="5" borderId="28" xfId="0" applyNumberFormat="1" applyFont="1" applyFill="1" applyBorder="1" applyAlignment="1">
      <alignment horizontal="center" vertical="center" wrapText="1"/>
    </xf>
    <xf numFmtId="4" fontId="9" fillId="5" borderId="28" xfId="0" applyNumberFormat="1" applyFont="1" applyFill="1" applyBorder="1" applyAlignment="1">
      <alignment horizontal="center" vertical="center" wrapText="1"/>
    </xf>
    <xf numFmtId="0" fontId="6" fillId="6" borderId="0" xfId="0" applyFont="1" applyFill="1">
      <alignment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vertical="center" wrapText="1"/>
    </xf>
    <xf numFmtId="0" fontId="1" fillId="6" borderId="28" xfId="0" applyFont="1" applyFill="1" applyBorder="1" applyAlignment="1">
      <alignment horizontal="left" vertical="center" wrapText="1"/>
    </xf>
    <xf numFmtId="4" fontId="1" fillId="6" borderId="25" xfId="0" applyNumberFormat="1" applyFont="1" applyFill="1" applyBorder="1">
      <alignment vertical="center"/>
    </xf>
    <xf numFmtId="0" fontId="1" fillId="6" borderId="28" xfId="0" applyFont="1" applyFill="1" applyBorder="1">
      <alignment vertical="center"/>
    </xf>
    <xf numFmtId="0" fontId="74" fillId="6" borderId="28" xfId="0" applyFont="1" applyFill="1" applyBorder="1" applyAlignment="1">
      <alignment horizontal="center" vertical="center"/>
    </xf>
    <xf numFmtId="0" fontId="74" fillId="6" borderId="28" xfId="0" applyFont="1" applyFill="1" applyBorder="1" applyAlignment="1">
      <alignment vertical="center" wrapText="1"/>
    </xf>
    <xf numFmtId="0" fontId="74" fillId="6" borderId="28" xfId="0" applyFont="1" applyFill="1" applyBorder="1" applyAlignment="1">
      <alignment horizontal="left" vertical="center" wrapText="1"/>
    </xf>
    <xf numFmtId="4" fontId="74" fillId="5" borderId="25" xfId="0" applyNumberFormat="1" applyFont="1" applyFill="1" applyBorder="1">
      <alignment vertical="center"/>
    </xf>
    <xf numFmtId="0" fontId="74" fillId="6" borderId="28" xfId="0" applyFont="1" applyFill="1" applyBorder="1">
      <alignment vertical="center"/>
    </xf>
    <xf numFmtId="0" fontId="13" fillId="6" borderId="28" xfId="0" applyFont="1" applyFill="1" applyBorder="1" applyAlignment="1">
      <alignment horizontal="center" vertical="center"/>
    </xf>
    <xf numFmtId="0" fontId="13" fillId="6" borderId="28" xfId="0" applyFont="1" applyFill="1" applyBorder="1" applyAlignment="1">
      <alignment vertical="center" wrapText="1"/>
    </xf>
    <xf numFmtId="0" fontId="13" fillId="6" borderId="28" xfId="0" applyFont="1" applyFill="1" applyBorder="1" applyAlignment="1">
      <alignment horizontal="left" vertical="center" wrapText="1"/>
    </xf>
    <xf numFmtId="4" fontId="13" fillId="6" borderId="25" xfId="0" applyNumberFormat="1" applyFont="1" applyFill="1" applyBorder="1">
      <alignment vertical="center"/>
    </xf>
    <xf numFmtId="0" fontId="13" fillId="6" borderId="28" xfId="0" applyFont="1" applyFill="1" applyBorder="1">
      <alignment vertical="center"/>
    </xf>
    <xf numFmtId="4" fontId="1" fillId="6" borderId="28" xfId="0" applyNumberFormat="1" applyFont="1" applyFill="1" applyBorder="1">
      <alignment vertical="center"/>
    </xf>
    <xf numFmtId="4" fontId="13" fillId="6" borderId="28" xfId="0" applyNumberFormat="1" applyFont="1" applyFill="1" applyBorder="1">
      <alignment vertical="center"/>
    </xf>
    <xf numFmtId="0" fontId="1" fillId="7" borderId="28" xfId="0" applyFont="1" applyFill="1" applyBorder="1" applyAlignment="1">
      <alignment vertical="center" wrapText="1"/>
    </xf>
    <xf numFmtId="0" fontId="1" fillId="7" borderId="28" xfId="0" applyFont="1" applyFill="1" applyBorder="1" applyAlignment="1">
      <alignment horizontal="left" vertical="center" wrapText="1"/>
    </xf>
    <xf numFmtId="4" fontId="1" fillId="3" borderId="28" xfId="0" applyNumberFormat="1" applyFont="1" applyFill="1" applyBorder="1">
      <alignment vertical="center"/>
    </xf>
    <xf numFmtId="0" fontId="36" fillId="6" borderId="0" xfId="0" applyFont="1" applyFill="1">
      <alignment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 wrapText="1"/>
    </xf>
    <xf numFmtId="3" fontId="9" fillId="6" borderId="28" xfId="0" applyNumberFormat="1" applyFont="1" applyFill="1" applyBorder="1" applyAlignment="1">
      <alignment horizontal="center" vertical="center" wrapText="1"/>
    </xf>
    <xf numFmtId="0" fontId="9" fillId="6" borderId="28" xfId="0" applyFont="1" applyFill="1" applyBorder="1">
      <alignment vertical="center"/>
    </xf>
    <xf numFmtId="3" fontId="6" fillId="0" borderId="0" xfId="0" applyNumberFormat="1" applyFont="1" applyAlignment="1">
      <alignment horizontal="left" vertical="center"/>
    </xf>
    <xf numFmtId="0" fontId="2" fillId="0" borderId="22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/>
    </xf>
    <xf numFmtId="10" fontId="35" fillId="6" borderId="29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165" fontId="2" fillId="0" borderId="0" xfId="0" applyNumberFormat="1" applyFont="1">
      <alignment vertical="center"/>
    </xf>
    <xf numFmtId="0" fontId="7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75" fillId="0" borderId="0" xfId="0" applyFont="1">
      <alignment vertical="center"/>
    </xf>
    <xf numFmtId="0" fontId="75" fillId="0" borderId="28" xfId="0" applyFont="1" applyBorder="1" applyAlignment="1">
      <alignment vertical="center" wrapText="1"/>
    </xf>
    <xf numFmtId="165" fontId="75" fillId="0" borderId="28" xfId="0" applyNumberFormat="1" applyFont="1" applyBorder="1">
      <alignment vertical="center"/>
    </xf>
    <xf numFmtId="165" fontId="75" fillId="0" borderId="0" xfId="0" applyNumberFormat="1" applyFont="1">
      <alignment vertical="center"/>
    </xf>
    <xf numFmtId="0" fontId="75" fillId="0" borderId="0" xfId="0" applyFont="1" applyAlignment="1">
      <alignment horizontal="center" vertical="center"/>
    </xf>
    <xf numFmtId="0" fontId="2" fillId="0" borderId="28" xfId="0" applyFont="1" applyBorder="1">
      <alignment vertical="center"/>
    </xf>
    <xf numFmtId="165" fontId="2" fillId="0" borderId="28" xfId="0" applyNumberFormat="1" applyFont="1" applyBorder="1">
      <alignment vertical="center"/>
    </xf>
    <xf numFmtId="4" fontId="2" fillId="0" borderId="0" xfId="0" applyNumberFormat="1" applyFont="1" applyAlignment="1">
      <alignment horizontal="center" vertical="center"/>
    </xf>
    <xf numFmtId="0" fontId="11" fillId="0" borderId="34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12" fillId="0" borderId="23" xfId="0" applyFont="1" applyBorder="1" applyAlignment="1">
      <alignment vertical="center" wrapText="1"/>
    </xf>
    <xf numFmtId="165" fontId="2" fillId="0" borderId="41" xfId="0" applyNumberFormat="1" applyFont="1" applyBorder="1">
      <alignment vertical="center"/>
    </xf>
    <xf numFmtId="0" fontId="2" fillId="0" borderId="38" xfId="0" applyFont="1" applyBorder="1" applyAlignment="1">
      <alignment vertical="center" wrapText="1"/>
    </xf>
    <xf numFmtId="165" fontId="2" fillId="0" borderId="38" xfId="0" applyNumberFormat="1" applyFont="1" applyBorder="1">
      <alignment vertical="center"/>
    </xf>
    <xf numFmtId="0" fontId="12" fillId="0" borderId="25" xfId="0" applyFont="1" applyBorder="1" applyAlignment="1">
      <alignment vertical="center" wrapText="1"/>
    </xf>
    <xf numFmtId="165" fontId="2" fillId="0" borderId="26" xfId="0" applyNumberFormat="1" applyFont="1" applyBorder="1">
      <alignment vertical="center"/>
    </xf>
    <xf numFmtId="164" fontId="75" fillId="0" borderId="28" xfId="0" applyNumberFormat="1" applyFont="1" applyBorder="1">
      <alignment vertical="center"/>
    </xf>
    <xf numFmtId="0" fontId="2" fillId="0" borderId="31" xfId="0" applyFont="1" applyBorder="1" applyAlignment="1">
      <alignment vertical="center" wrapText="1"/>
    </xf>
    <xf numFmtId="164" fontId="2" fillId="0" borderId="20" xfId="0" applyNumberFormat="1" applyFont="1" applyBorder="1">
      <alignment vertical="center"/>
    </xf>
    <xf numFmtId="0" fontId="2" fillId="3" borderId="0" xfId="0" applyFont="1" applyFill="1">
      <alignment vertical="center"/>
    </xf>
    <xf numFmtId="0" fontId="2" fillId="3" borderId="31" xfId="0" applyFont="1" applyFill="1" applyBorder="1" applyAlignment="1">
      <alignment vertical="center" wrapText="1"/>
    </xf>
    <xf numFmtId="164" fontId="2" fillId="8" borderId="0" xfId="0" applyNumberFormat="1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2" fillId="8" borderId="0" xfId="0" applyFont="1" applyFill="1">
      <alignment vertical="center"/>
    </xf>
    <xf numFmtId="1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 wrapText="1"/>
    </xf>
    <xf numFmtId="170" fontId="6" fillId="0" borderId="0" xfId="0" applyNumberFormat="1" applyFont="1">
      <alignment vertical="center"/>
    </xf>
    <xf numFmtId="1" fontId="6" fillId="0" borderId="28" xfId="0" applyNumberFormat="1" applyFont="1" applyBorder="1" applyAlignment="1">
      <alignment horizontal="center" vertical="center"/>
    </xf>
    <xf numFmtId="165" fontId="6" fillId="0" borderId="28" xfId="0" applyNumberFormat="1" applyFont="1" applyBorder="1" applyAlignment="1">
      <alignment vertical="center" wrapText="1"/>
    </xf>
    <xf numFmtId="170" fontId="36" fillId="0" borderId="28" xfId="0" applyNumberFormat="1" applyFont="1" applyBorder="1" applyAlignment="1">
      <alignment horizontal="center" vertical="center" wrapText="1"/>
    </xf>
    <xf numFmtId="4" fontId="76" fillId="0" borderId="28" xfId="0" applyNumberFormat="1" applyFont="1" applyBorder="1" applyAlignment="1">
      <alignment horizontal="right" vertical="center" wrapText="1"/>
    </xf>
    <xf numFmtId="165" fontId="36" fillId="0" borderId="28" xfId="0" applyNumberFormat="1" applyFont="1" applyBorder="1" applyAlignment="1">
      <alignment horizontal="center" vertical="center" wrapText="1"/>
    </xf>
    <xf numFmtId="4" fontId="77" fillId="4" borderId="28" xfId="0" applyNumberFormat="1" applyFont="1" applyFill="1" applyBorder="1" applyAlignment="1">
      <alignment horizontal="center" vertical="center" wrapText="1"/>
    </xf>
    <xf numFmtId="170" fontId="6" fillId="0" borderId="28" xfId="0" applyNumberFormat="1" applyFont="1" applyBorder="1">
      <alignment vertical="center"/>
    </xf>
    <xf numFmtId="4" fontId="6" fillId="0" borderId="28" xfId="0" applyNumberFormat="1" applyFont="1" applyBorder="1">
      <alignment vertical="center"/>
    </xf>
    <xf numFmtId="165" fontId="6" fillId="3" borderId="28" xfId="0" applyNumberFormat="1" applyFont="1" applyFill="1" applyBorder="1">
      <alignment vertical="center"/>
    </xf>
    <xf numFmtId="4" fontId="6" fillId="4" borderId="28" xfId="0" applyNumberFormat="1" applyFont="1" applyFill="1" applyBorder="1">
      <alignment vertical="center"/>
    </xf>
    <xf numFmtId="165" fontId="34" fillId="0" borderId="0" xfId="0" applyNumberFormat="1" applyFont="1">
      <alignment vertical="center"/>
    </xf>
    <xf numFmtId="1" fontId="34" fillId="0" borderId="28" xfId="0" applyNumberFormat="1" applyFont="1" applyBorder="1" applyAlignment="1">
      <alignment horizontal="center" vertical="center"/>
    </xf>
    <xf numFmtId="165" fontId="34" fillId="0" borderId="28" xfId="0" applyNumberFormat="1" applyFont="1" applyBorder="1" applyAlignment="1">
      <alignment vertical="center" wrapText="1"/>
    </xf>
    <xf numFmtId="170" fontId="34" fillId="0" borderId="28" xfId="0" applyNumberFormat="1" applyFont="1" applyBorder="1">
      <alignment vertical="center"/>
    </xf>
    <xf numFmtId="4" fontId="34" fillId="0" borderId="28" xfId="0" applyNumberFormat="1" applyFont="1" applyBorder="1">
      <alignment vertical="center"/>
    </xf>
    <xf numFmtId="165" fontId="34" fillId="3" borderId="28" xfId="0" applyNumberFormat="1" applyFont="1" applyFill="1" applyBorder="1">
      <alignment vertical="center"/>
    </xf>
    <xf numFmtId="4" fontId="34" fillId="4" borderId="28" xfId="0" applyNumberFormat="1" applyFont="1" applyFill="1" applyBorder="1">
      <alignment vertical="center"/>
    </xf>
    <xf numFmtId="165" fontId="6" fillId="0" borderId="28" xfId="0" applyNumberFormat="1" applyFont="1" applyBorder="1">
      <alignment vertical="center"/>
    </xf>
    <xf numFmtId="170" fontId="6" fillId="0" borderId="28" xfId="0" applyNumberFormat="1" applyFont="1" applyBorder="1" applyAlignment="1">
      <alignment horizontal="center" vertical="center"/>
    </xf>
    <xf numFmtId="170" fontId="34" fillId="0" borderId="28" xfId="0" applyNumberFormat="1" applyFont="1" applyBorder="1" applyAlignment="1">
      <alignment horizontal="center" vertical="center"/>
    </xf>
    <xf numFmtId="165" fontId="34" fillId="0" borderId="28" xfId="0" applyNumberFormat="1" applyFont="1" applyBorder="1">
      <alignment vertical="center"/>
    </xf>
    <xf numFmtId="165" fontId="6" fillId="0" borderId="0" xfId="0" applyNumberFormat="1" applyFont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6" fillId="4" borderId="28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4" fontId="6" fillId="4" borderId="28" xfId="0" applyNumberFormat="1" applyFont="1" applyFill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165" fontId="6" fillId="4" borderId="0" xfId="0" applyNumberFormat="1" applyFont="1" applyFill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4" fontId="3" fillId="4" borderId="28" xfId="0" applyNumberFormat="1" applyFont="1" applyFill="1" applyBorder="1" applyAlignment="1">
      <alignment horizontal="center" vertical="center" wrapText="1"/>
    </xf>
    <xf numFmtId="10" fontId="3" fillId="0" borderId="28" xfId="0" applyNumberFormat="1" applyFont="1" applyBorder="1" applyAlignment="1">
      <alignment horizontal="center" vertical="center" wrapText="1"/>
    </xf>
    <xf numFmtId="177" fontId="3" fillId="0" borderId="28" xfId="0" applyNumberFormat="1" applyFont="1" applyBorder="1" applyAlignment="1">
      <alignment horizontal="center" vertical="center" wrapText="1"/>
    </xf>
    <xf numFmtId="2" fontId="36" fillId="0" borderId="53" xfId="0" applyNumberFormat="1" applyFont="1" applyBorder="1" applyAlignment="1">
      <alignment horizontal="center" vertical="center" wrapText="1"/>
    </xf>
    <xf numFmtId="2" fontId="78" fillId="0" borderId="54" xfId="0" applyNumberFormat="1" applyFont="1" applyBorder="1" applyAlignment="1">
      <alignment horizontal="center" vertical="center"/>
    </xf>
    <xf numFmtId="2" fontId="36" fillId="0" borderId="54" xfId="0" applyNumberFormat="1" applyFont="1" applyBorder="1" applyAlignment="1">
      <alignment horizontal="center" vertical="center"/>
    </xf>
    <xf numFmtId="2" fontId="36" fillId="0" borderId="55" xfId="0" applyNumberFormat="1" applyFont="1" applyBorder="1" applyAlignment="1">
      <alignment horizontal="center" vertical="center"/>
    </xf>
    <xf numFmtId="2" fontId="36" fillId="0" borderId="56" xfId="0" applyNumberFormat="1" applyFont="1" applyBorder="1" applyAlignment="1">
      <alignment vertical="center" wrapText="1"/>
    </xf>
    <xf numFmtId="4" fontId="36" fillId="0" borderId="55" xfId="0" applyNumberFormat="1" applyFont="1" applyBorder="1" applyAlignment="1">
      <alignment vertical="center" wrapText="1"/>
    </xf>
    <xf numFmtId="4" fontId="36" fillId="0" borderId="56" xfId="0" applyNumberFormat="1" applyFont="1" applyBorder="1">
      <alignment vertical="center"/>
    </xf>
    <xf numFmtId="2" fontId="36" fillId="0" borderId="57" xfId="0" applyNumberFormat="1" applyFont="1" applyBorder="1" applyAlignment="1">
      <alignment horizontal="center" vertical="center"/>
    </xf>
    <xf numFmtId="2" fontId="6" fillId="0" borderId="58" xfId="0" applyNumberFormat="1" applyFont="1" applyBorder="1" applyAlignment="1">
      <alignment vertical="center" wrapText="1"/>
    </xf>
    <xf numFmtId="4" fontId="6" fillId="0" borderId="57" xfId="0" applyNumberFormat="1" applyFont="1" applyBorder="1" applyAlignment="1">
      <alignment vertical="center" wrapText="1"/>
    </xf>
    <xf numFmtId="4" fontId="6" fillId="0" borderId="58" xfId="0" applyNumberFormat="1" applyFont="1" applyBorder="1">
      <alignment vertical="center"/>
    </xf>
    <xf numFmtId="4" fontId="6" fillId="0" borderId="59" xfId="0" applyNumberFormat="1" applyFont="1" applyBorder="1">
      <alignment vertical="center"/>
    </xf>
    <xf numFmtId="4" fontId="34" fillId="0" borderId="57" xfId="0" applyNumberFormat="1" applyFont="1" applyBorder="1" applyAlignment="1">
      <alignment vertical="center" wrapText="1"/>
    </xf>
    <xf numFmtId="4" fontId="6" fillId="0" borderId="59" xfId="0" applyNumberFormat="1" applyFont="1" applyBorder="1" applyAlignment="1">
      <alignment vertical="center" wrapText="1"/>
    </xf>
    <xf numFmtId="4" fontId="34" fillId="0" borderId="59" xfId="0" applyNumberFormat="1" applyFont="1" applyBorder="1" applyAlignment="1">
      <alignment vertical="center" wrapText="1"/>
    </xf>
    <xf numFmtId="4" fontId="34" fillId="0" borderId="58" xfId="0" applyNumberFormat="1" applyFont="1" applyBorder="1" applyAlignment="1">
      <alignment vertical="center" wrapText="1"/>
    </xf>
    <xf numFmtId="2" fontId="36" fillId="0" borderId="53" xfId="0" applyNumberFormat="1" applyFont="1" applyBorder="1" applyAlignment="1">
      <alignment horizontal="center" vertical="center"/>
    </xf>
    <xf numFmtId="2" fontId="6" fillId="0" borderId="54" xfId="0" applyNumberFormat="1" applyFont="1" applyBorder="1" applyAlignment="1">
      <alignment vertical="center" wrapText="1"/>
    </xf>
    <xf numFmtId="4" fontId="34" fillId="0" borderId="53" xfId="0" applyNumberFormat="1" applyFont="1" applyBorder="1" applyAlignment="1">
      <alignment vertical="center" wrapText="1"/>
    </xf>
    <xf numFmtId="4" fontId="6" fillId="0" borderId="54" xfId="0" applyNumberFormat="1" applyFont="1" applyBorder="1">
      <alignment vertical="center"/>
    </xf>
    <xf numFmtId="4" fontId="6" fillId="0" borderId="53" xfId="0" applyNumberFormat="1" applyFont="1" applyBorder="1" applyAlignment="1">
      <alignment vertical="center" wrapText="1"/>
    </xf>
    <xf numFmtId="4" fontId="6" fillId="0" borderId="55" xfId="0" applyNumberFormat="1" applyFont="1" applyBorder="1" applyAlignment="1">
      <alignment vertical="center" wrapText="1"/>
    </xf>
    <xf numFmtId="4" fontId="6" fillId="0" borderId="56" xfId="0" applyNumberFormat="1" applyFont="1" applyBorder="1">
      <alignment vertical="center"/>
    </xf>
    <xf numFmtId="4" fontId="6" fillId="0" borderId="55" xfId="0" applyNumberFormat="1" applyFont="1" applyBorder="1">
      <alignment vertical="center"/>
    </xf>
    <xf numFmtId="2" fontId="36" fillId="0" borderId="58" xfId="0" applyNumberFormat="1" applyFont="1" applyBorder="1" applyAlignment="1">
      <alignment vertical="center" wrapText="1"/>
    </xf>
    <xf numFmtId="4" fontId="6" fillId="0" borderId="57" xfId="0" applyNumberFormat="1" applyFont="1" applyBorder="1">
      <alignment vertical="center"/>
    </xf>
    <xf numFmtId="2" fontId="36" fillId="0" borderId="54" xfId="0" applyNumberFormat="1" applyFont="1" applyBorder="1" applyAlignment="1">
      <alignment vertical="center" wrapText="1"/>
    </xf>
    <xf numFmtId="4" fontId="6" fillId="0" borderId="53" xfId="0" applyNumberFormat="1" applyFont="1" applyBorder="1">
      <alignment vertical="center"/>
    </xf>
    <xf numFmtId="4" fontId="6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60" xfId="0" applyFont="1" applyBorder="1" applyAlignment="1">
      <alignment wrapText="1"/>
    </xf>
    <xf numFmtId="165" fontId="2" fillId="0" borderId="60" xfId="0" applyNumberFormat="1" applyFont="1" applyBorder="1" applyAlignment="1"/>
    <xf numFmtId="0" fontId="2" fillId="0" borderId="60" xfId="0" applyFont="1" applyBorder="1" applyAlignment="1"/>
    <xf numFmtId="0" fontId="2" fillId="0" borderId="60" xfId="0" applyFont="1" applyBorder="1" applyAlignment="1">
      <alignment wrapText="1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>
      <alignment vertical="center"/>
    </xf>
    <xf numFmtId="0" fontId="1" fillId="2" borderId="1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10" fillId="2" borderId="36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164" fontId="9" fillId="0" borderId="3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2" borderId="17" xfId="0" applyNumberFormat="1" applyFont="1" applyFill="1" applyBorder="1" applyAlignment="1">
      <alignment horizontal="right" vertical="center"/>
    </xf>
    <xf numFmtId="164" fontId="6" fillId="2" borderId="17" xfId="0" applyNumberFormat="1" applyFont="1" applyFill="1" applyBorder="1" applyAlignment="1">
      <alignment horizontal="right" vertical="center"/>
    </xf>
    <xf numFmtId="164" fontId="6" fillId="2" borderId="20" xfId="0" applyNumberFormat="1" applyFont="1" applyFill="1" applyBorder="1" applyAlignment="1">
      <alignment horizontal="right" vertical="center"/>
    </xf>
    <xf numFmtId="0" fontId="9" fillId="2" borderId="44" xfId="0" applyFont="1" applyFill="1" applyBorder="1" applyAlignment="1">
      <alignment vertical="center" wrapText="1"/>
    </xf>
    <xf numFmtId="0" fontId="6" fillId="2" borderId="44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10" fillId="2" borderId="33" xfId="0" applyFont="1" applyFill="1" applyBorder="1">
      <alignment vertical="center"/>
    </xf>
    <xf numFmtId="0" fontId="10" fillId="2" borderId="26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" fillId="2" borderId="1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164" fontId="9" fillId="2" borderId="17" xfId="0" applyNumberFormat="1" applyFont="1" applyFill="1" applyBorder="1">
      <alignment vertical="center"/>
    </xf>
    <xf numFmtId="164" fontId="6" fillId="2" borderId="17" xfId="0" applyNumberFormat="1" applyFont="1" applyFill="1" applyBorder="1">
      <alignment vertical="center"/>
    </xf>
    <xf numFmtId="164" fontId="6" fillId="2" borderId="20" xfId="0" applyNumberFormat="1" applyFont="1" applyFill="1" applyBorder="1">
      <alignment vertical="center"/>
    </xf>
    <xf numFmtId="164" fontId="1" fillId="2" borderId="25" xfId="0" applyNumberFormat="1" applyFont="1" applyFill="1" applyBorder="1">
      <alignment vertical="center"/>
    </xf>
    <xf numFmtId="164" fontId="10" fillId="2" borderId="26" xfId="0" applyNumberFormat="1" applyFont="1" applyFill="1" applyBorder="1">
      <alignment vertical="center"/>
    </xf>
    <xf numFmtId="164" fontId="10" fillId="2" borderId="27" xfId="0" applyNumberFormat="1" applyFont="1" applyFill="1" applyBorder="1">
      <alignment vertical="center"/>
    </xf>
    <xf numFmtId="0" fontId="20" fillId="2" borderId="36" xfId="0" applyFont="1" applyFill="1" applyBorder="1" applyAlignment="1">
      <alignment horizontal="center" vertical="center" wrapText="1"/>
    </xf>
    <xf numFmtId="0" fontId="20" fillId="2" borderId="31" xfId="0" applyFont="1" applyFill="1" applyBorder="1" applyAlignment="1">
      <alignment horizontal="center" vertical="center" wrapText="1"/>
    </xf>
    <xf numFmtId="0" fontId="20" fillId="2" borderId="32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vertical="center" wrapText="1"/>
    </xf>
    <xf numFmtId="164" fontId="9" fillId="2" borderId="17" xfId="0" applyNumberFormat="1" applyFont="1" applyFill="1" applyBorder="1" applyAlignment="1">
      <alignment horizontal="center" vertical="center"/>
    </xf>
    <xf numFmtId="164" fontId="6" fillId="2" borderId="17" xfId="0" applyNumberFormat="1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>
      <alignment vertical="center"/>
    </xf>
    <xf numFmtId="0" fontId="10" fillId="2" borderId="23" xfId="0" applyFont="1" applyFill="1" applyBorder="1">
      <alignment vertical="center"/>
    </xf>
    <xf numFmtId="164" fontId="9" fillId="2" borderId="24" xfId="0" applyNumberFormat="1" applyFont="1" applyFill="1" applyBorder="1" applyAlignment="1">
      <alignment horizontal="right" vertical="center"/>
    </xf>
    <xf numFmtId="164" fontId="6" fillId="2" borderId="24" xfId="0" applyNumberFormat="1" applyFont="1" applyFill="1" applyBorder="1" applyAlignment="1">
      <alignment horizontal="right" vertical="center"/>
    </xf>
    <xf numFmtId="164" fontId="6" fillId="2" borderId="32" xfId="0" applyNumberFormat="1" applyFont="1" applyFill="1" applyBorder="1" applyAlignment="1">
      <alignment horizontal="right" vertical="center"/>
    </xf>
    <xf numFmtId="164" fontId="1" fillId="2" borderId="25" xfId="0" applyNumberFormat="1" applyFont="1" applyFill="1" applyBorder="1" applyAlignment="1">
      <alignment vertical="center" wrapText="1"/>
    </xf>
    <xf numFmtId="164" fontId="10" fillId="2" borderId="26" xfId="0" applyNumberFormat="1" applyFont="1" applyFill="1" applyBorder="1" applyAlignment="1">
      <alignment vertical="center" wrapText="1"/>
    </xf>
    <xf numFmtId="164" fontId="10" fillId="2" borderId="27" xfId="0" applyNumberFormat="1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164" fontId="9" fillId="2" borderId="43" xfId="0" applyNumberFormat="1" applyFont="1" applyFill="1" applyBorder="1" applyAlignment="1">
      <alignment horizontal="center" vertical="center"/>
    </xf>
    <xf numFmtId="164" fontId="6" fillId="2" borderId="43" xfId="0" applyNumberFormat="1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164" fontId="9" fillId="2" borderId="43" xfId="0" applyNumberFormat="1" applyFont="1" applyFill="1" applyBorder="1">
      <alignment vertical="center"/>
    </xf>
    <xf numFmtId="164" fontId="6" fillId="2" borderId="43" xfId="0" applyNumberFormat="1" applyFont="1" applyFill="1" applyBorder="1">
      <alignment vertical="center"/>
    </xf>
    <xf numFmtId="164" fontId="6" fillId="2" borderId="21" xfId="0" applyNumberFormat="1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6" fillId="2" borderId="17" xfId="0" applyFont="1" applyFill="1" applyBorder="1">
      <alignment vertical="center"/>
    </xf>
    <xf numFmtId="0" fontId="1" fillId="2" borderId="34" xfId="0" applyFont="1" applyFill="1" applyBorder="1">
      <alignment vertical="center"/>
    </xf>
    <xf numFmtId="0" fontId="9" fillId="2" borderId="35" xfId="0" applyFont="1" applyFill="1" applyBorder="1" applyAlignment="1">
      <alignment horizontal="center" vertical="center" wrapText="1"/>
    </xf>
    <xf numFmtId="0" fontId="10" fillId="2" borderId="18" xfId="0" applyFont="1" applyFill="1" applyBorder="1">
      <alignment vertical="center"/>
    </xf>
    <xf numFmtId="0" fontId="4" fillId="2" borderId="0" xfId="0" applyFont="1" applyFill="1" applyAlignment="1">
      <alignment horizontal="left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164" fontId="3" fillId="2" borderId="4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>
      <alignment vertical="center"/>
    </xf>
    <xf numFmtId="0" fontId="10" fillId="2" borderId="37" xfId="0" applyFont="1" applyFill="1" applyBorder="1">
      <alignment vertical="center"/>
    </xf>
    <xf numFmtId="164" fontId="4" fillId="2" borderId="0" xfId="0" applyNumberFormat="1" applyFont="1" applyFill="1" applyAlignment="1">
      <alignment horizontal="left" vertical="center"/>
    </xf>
    <xf numFmtId="0" fontId="10" fillId="2" borderId="42" xfId="0" applyFont="1" applyFill="1" applyBorder="1">
      <alignment vertical="center"/>
    </xf>
    <xf numFmtId="0" fontId="10" fillId="2" borderId="40" xfId="0" applyFont="1" applyFill="1" applyBorder="1">
      <alignment vertical="center"/>
    </xf>
    <xf numFmtId="164" fontId="9" fillId="2" borderId="43" xfId="0" applyNumberFormat="1" applyFont="1" applyFill="1" applyBorder="1" applyAlignment="1">
      <alignment horizontal="right" vertical="center"/>
    </xf>
    <xf numFmtId="164" fontId="6" fillId="2" borderId="43" xfId="0" applyNumberFormat="1" applyFont="1" applyFill="1" applyBorder="1" applyAlignment="1">
      <alignment horizontal="right" vertical="center"/>
    </xf>
    <xf numFmtId="164" fontId="6" fillId="2" borderId="2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12" fillId="0" borderId="5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2" fillId="0" borderId="0" xfId="0" applyFont="1" applyAlignment="1">
      <alignment vertical="center" wrapText="1"/>
    </xf>
    <xf numFmtId="0" fontId="22" fillId="0" borderId="0" xfId="0" applyFont="1">
      <alignment vertical="center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0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70" fontId="2" fillId="0" borderId="38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73" fillId="0" borderId="0" xfId="0" applyFont="1" applyAlignment="1">
      <alignment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4" fontId="1" fillId="6" borderId="38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2" fillId="0" borderId="0" xfId="0" applyFont="1" applyAlignment="1">
      <alignment horizontal="right"/>
    </xf>
    <xf numFmtId="0" fontId="11" fillId="0" borderId="4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70" fillId="0" borderId="0" xfId="0" applyFont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165" fontId="3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right" vertical="center" wrapText="1"/>
    </xf>
    <xf numFmtId="1" fontId="36" fillId="0" borderId="51" xfId="0" applyNumberFormat="1" applyFont="1" applyBorder="1" applyAlignment="1">
      <alignment horizontal="center" vertical="center" wrapText="1"/>
    </xf>
    <xf numFmtId="1" fontId="36" fillId="0" borderId="52" xfId="0" applyNumberFormat="1" applyFont="1" applyBorder="1" applyAlignment="1">
      <alignment horizontal="center" vertical="center" wrapText="1"/>
    </xf>
    <xf numFmtId="2" fontId="36" fillId="0" borderId="51" xfId="0" applyNumberFormat="1" applyFont="1" applyBorder="1" applyAlignment="1">
      <alignment horizontal="center" vertical="center" wrapText="1"/>
    </xf>
    <xf numFmtId="2" fontId="6" fillId="0" borderId="52" xfId="0" applyNumberFormat="1" applyFont="1" applyBorder="1" applyAlignment="1">
      <alignment horizontal="center" vertical="center" wrapText="1"/>
    </xf>
    <xf numFmtId="2" fontId="6" fillId="0" borderId="53" xfId="0" applyNumberFormat="1" applyFont="1" applyBorder="1" applyAlignment="1">
      <alignment horizontal="center" vertical="center" wrapText="1"/>
    </xf>
    <xf numFmtId="2" fontId="6" fillId="0" borderId="54" xfId="0" applyNumberFormat="1" applyFont="1" applyBorder="1" applyAlignment="1">
      <alignment horizontal="center" vertical="center" wrapText="1"/>
    </xf>
    <xf numFmtId="0" fontId="2" fillId="0" borderId="60" xfId="0" applyFont="1" applyBorder="1" applyAlignment="1">
      <alignment vertical="center" wrapText="1"/>
    </xf>
    <xf numFmtId="0" fontId="6" fillId="0" borderId="6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www.wps.cn/officeDocument/2020/cellImage" Target="NUL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://&#1041;&#1091;&#1083;&#1075;&#1072;&#1082;&#1086;&#1074;&#1072;%20&#1053;.&#1043;/&#1055;&#1080;&#1089;&#1100;&#1084;&#1072;/&#1058;&#1072;&#1073;&#1083;&#1080;&#1094;&#1072;%20&#1087;&#1086;&#1090;&#1088;&#1077;&#1073;&#1085;&#1086;&#1089;&#1090;&#1100;%20&#1089;&#1086;&#1075;&#1083;&#1072;&#1089;&#1086;&#1074;&#1072;&#1085;&#1086;%20&#1089;%20&#1044;&#1077;&#1087;&#1072;&#1088;&#1090;&#1072;&#1084;&#1077;&#1085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Лист1"/>
      <sheetName val="Лист3"/>
      <sheetName val="Лист2"/>
    </sheetNames>
    <sheetDataSet>
      <sheetData sheetId="0"/>
      <sheetData sheetId="1"/>
      <sheetData sheetId="2">
        <row r="19">
          <cell r="F19">
            <v>25000000</v>
          </cell>
        </row>
        <row r="20">
          <cell r="F20">
            <v>54869187.780000001</v>
          </cell>
        </row>
        <row r="22">
          <cell r="F22">
            <v>22619153.066399999</v>
          </cell>
        </row>
        <row r="23">
          <cell r="F23">
            <v>7503280.7401999999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06"/>
  <sheetViews>
    <sheetView tabSelected="1" zoomScale="70" workbookViewId="0">
      <selection activeCell="G6" sqref="G6"/>
    </sheetView>
  </sheetViews>
  <sheetFormatPr defaultColWidth="9.140625" defaultRowHeight="16.5" outlineLevelRow="1" x14ac:dyDescent="0.25"/>
  <cols>
    <col min="1" max="1" width="15" style="1" customWidth="1"/>
    <col min="2" max="2" width="70.85546875" style="1" customWidth="1"/>
    <col min="3" max="3" width="22.7109375" style="2" customWidth="1"/>
    <col min="4" max="7" width="13.7109375" style="2" customWidth="1"/>
    <col min="8" max="10" width="23.7109375" style="3" customWidth="1"/>
    <col min="11" max="11" width="23.7109375" style="4" customWidth="1"/>
    <col min="12" max="13" width="23.7109375" style="3" customWidth="1"/>
    <col min="14" max="14" width="24.7109375" style="5" customWidth="1"/>
    <col min="15" max="16" width="21.7109375" style="1" customWidth="1"/>
    <col min="17" max="17" width="21.28515625" style="1" bestFit="1" customWidth="1"/>
    <col min="18" max="18" width="15.28515625" style="1" customWidth="1"/>
    <col min="19" max="19" width="18.5703125" style="1" customWidth="1"/>
    <col min="20" max="16384" width="9.140625" style="1"/>
  </cols>
  <sheetData>
    <row r="2" spans="2:15" ht="21" outlineLevel="1" x14ac:dyDescent="0.25">
      <c r="J2" s="639" t="s">
        <v>264</v>
      </c>
      <c r="K2" s="640"/>
      <c r="L2" s="640"/>
      <c r="M2" s="640"/>
    </row>
    <row r="3" spans="2:15" ht="21" outlineLevel="1" x14ac:dyDescent="0.25">
      <c r="J3" s="639" t="s">
        <v>135</v>
      </c>
      <c r="K3" s="640"/>
      <c r="L3" s="640"/>
      <c r="M3" s="640"/>
    </row>
    <row r="4" spans="2:15" ht="21" outlineLevel="1" x14ac:dyDescent="0.25">
      <c r="J4" s="639" t="s">
        <v>125</v>
      </c>
      <c r="K4" s="640"/>
      <c r="L4" s="640"/>
      <c r="M4" s="640"/>
    </row>
    <row r="5" spans="2:15" ht="21" outlineLevel="1" x14ac:dyDescent="0.25">
      <c r="J5" s="639" t="s">
        <v>878</v>
      </c>
      <c r="K5" s="640"/>
      <c r="L5" s="640"/>
      <c r="M5" s="640"/>
    </row>
    <row r="6" spans="2:15" ht="20.25" x14ac:dyDescent="0.25">
      <c r="G6" s="6"/>
      <c r="J6" s="7"/>
      <c r="K6" s="8"/>
      <c r="L6" s="7"/>
      <c r="M6" s="7"/>
      <c r="O6" s="9"/>
    </row>
    <row r="7" spans="2:15" ht="21" x14ac:dyDescent="0.25">
      <c r="G7" s="6"/>
      <c r="J7" s="639" t="s">
        <v>79</v>
      </c>
      <c r="K7" s="640"/>
      <c r="L7" s="640"/>
      <c r="M7" s="640"/>
      <c r="N7" s="10"/>
    </row>
    <row r="8" spans="2:15" ht="21" x14ac:dyDescent="0.25">
      <c r="G8" s="6"/>
      <c r="J8" s="639" t="s">
        <v>80</v>
      </c>
      <c r="K8" s="640"/>
      <c r="L8" s="640"/>
      <c r="M8" s="640"/>
      <c r="N8" s="10"/>
      <c r="O8" s="9"/>
    </row>
    <row r="9" spans="2:15" ht="21" x14ac:dyDescent="0.25">
      <c r="G9" s="6"/>
      <c r="J9" s="639" t="s">
        <v>81</v>
      </c>
      <c r="K9" s="640"/>
      <c r="L9" s="640"/>
      <c r="M9" s="640"/>
      <c r="N9" s="10"/>
      <c r="O9" s="9"/>
    </row>
    <row r="10" spans="2:15" ht="21" x14ac:dyDescent="0.25">
      <c r="G10" s="6"/>
      <c r="J10" s="639" t="s">
        <v>82</v>
      </c>
      <c r="K10" s="640"/>
      <c r="L10" s="640"/>
      <c r="M10" s="640"/>
      <c r="N10" s="10"/>
      <c r="O10" s="9"/>
    </row>
    <row r="11" spans="2:15" x14ac:dyDescent="0.25">
      <c r="K11" s="11"/>
      <c r="L11" s="12"/>
      <c r="M11" s="12"/>
      <c r="N11" s="10"/>
      <c r="O11" s="9"/>
    </row>
    <row r="12" spans="2:15" ht="24" customHeight="1" x14ac:dyDescent="0.25">
      <c r="B12" s="660" t="s">
        <v>83</v>
      </c>
      <c r="C12" s="661"/>
      <c r="D12" s="661"/>
      <c r="E12" s="661"/>
      <c r="F12" s="661"/>
      <c r="G12" s="661"/>
      <c r="H12" s="661"/>
      <c r="I12" s="661"/>
      <c r="J12" s="661"/>
      <c r="K12" s="661"/>
      <c r="L12" s="661"/>
      <c r="M12" s="661"/>
      <c r="N12" s="10"/>
      <c r="O12" s="9"/>
    </row>
    <row r="13" spans="2:15" ht="24" customHeight="1" x14ac:dyDescent="0.25">
      <c r="B13" s="660" t="s">
        <v>84</v>
      </c>
      <c r="C13" s="661"/>
      <c r="D13" s="661"/>
      <c r="E13" s="661"/>
      <c r="F13" s="661"/>
      <c r="G13" s="661"/>
      <c r="H13" s="661"/>
      <c r="I13" s="661"/>
      <c r="J13" s="661"/>
      <c r="K13" s="661"/>
      <c r="L13" s="661"/>
      <c r="M13" s="661"/>
    </row>
    <row r="15" spans="2:15" s="13" customFormat="1" ht="36" customHeight="1" x14ac:dyDescent="0.25">
      <c r="B15" s="734" t="s">
        <v>0</v>
      </c>
      <c r="C15" s="732" t="s">
        <v>1</v>
      </c>
      <c r="D15" s="647" t="s">
        <v>2</v>
      </c>
      <c r="E15" s="648"/>
      <c r="F15" s="656" t="s">
        <v>4</v>
      </c>
      <c r="G15" s="657"/>
      <c r="H15" s="653" t="s">
        <v>5</v>
      </c>
      <c r="I15" s="654"/>
      <c r="J15" s="654"/>
      <c r="K15" s="654"/>
      <c r="L15" s="654"/>
      <c r="M15" s="655"/>
    </row>
    <row r="16" spans="2:15" ht="31.5" x14ac:dyDescent="0.25">
      <c r="B16" s="735"/>
      <c r="C16" s="733"/>
      <c r="D16" s="14" t="s">
        <v>3</v>
      </c>
      <c r="E16" s="15" t="s">
        <v>17</v>
      </c>
      <c r="F16" s="658"/>
      <c r="G16" s="659"/>
      <c r="H16" s="16" t="s">
        <v>134</v>
      </c>
      <c r="I16" s="16" t="s">
        <v>6</v>
      </c>
      <c r="J16" s="16" t="s">
        <v>18</v>
      </c>
      <c r="K16" s="17" t="s">
        <v>19</v>
      </c>
      <c r="L16" s="16" t="s">
        <v>20</v>
      </c>
      <c r="M16" s="18" t="s">
        <v>21</v>
      </c>
    </row>
    <row r="17" spans="2:18" s="19" customFormat="1" x14ac:dyDescent="0.25">
      <c r="B17" s="20">
        <v>1</v>
      </c>
      <c r="C17" s="21">
        <v>2</v>
      </c>
      <c r="D17" s="21">
        <v>3</v>
      </c>
      <c r="E17" s="22">
        <v>4</v>
      </c>
      <c r="F17" s="23">
        <v>5</v>
      </c>
      <c r="G17" s="21">
        <v>6</v>
      </c>
      <c r="H17" s="24">
        <v>7</v>
      </c>
      <c r="I17" s="24">
        <v>8</v>
      </c>
      <c r="J17" s="24">
        <v>9</v>
      </c>
      <c r="K17" s="25">
        <v>10</v>
      </c>
      <c r="L17" s="24">
        <v>11</v>
      </c>
      <c r="M17" s="26">
        <v>12</v>
      </c>
    </row>
    <row r="18" spans="2:18" ht="19.5" customHeight="1" x14ac:dyDescent="0.25">
      <c r="B18" s="27" t="s">
        <v>7</v>
      </c>
      <c r="C18" s="644" t="s">
        <v>727</v>
      </c>
      <c r="D18" s="671">
        <v>2022</v>
      </c>
      <c r="E18" s="705">
        <v>2026</v>
      </c>
      <c r="F18" s="722" t="s">
        <v>75</v>
      </c>
      <c r="G18" s="723"/>
      <c r="H18" s="28">
        <f>SUM(H20:H24)</f>
        <v>11054406.193901852</v>
      </c>
      <c r="I18" s="29">
        <f t="shared" ref="I18:M18" si="0">SUM(I20:I24)</f>
        <v>2358972.9104914069</v>
      </c>
      <c r="J18" s="29">
        <f t="shared" si="0"/>
        <v>3491085.7140273228</v>
      </c>
      <c r="K18" s="29">
        <f>SUM(K20:K24)</f>
        <v>2068393.0238704684</v>
      </c>
      <c r="L18" s="29">
        <f t="shared" si="0"/>
        <v>1621258.8283317343</v>
      </c>
      <c r="M18" s="30">
        <f t="shared" si="0"/>
        <v>1514695.7171809091</v>
      </c>
      <c r="N18" s="10"/>
    </row>
    <row r="19" spans="2:18" ht="19.5" customHeight="1" x14ac:dyDescent="0.25">
      <c r="B19" s="31" t="s">
        <v>8</v>
      </c>
      <c r="C19" s="645"/>
      <c r="D19" s="684"/>
      <c r="E19" s="720"/>
      <c r="F19" s="724"/>
      <c r="G19" s="725"/>
      <c r="H19" s="32"/>
      <c r="I19" s="677"/>
      <c r="J19" s="678"/>
      <c r="K19" s="678"/>
      <c r="L19" s="678"/>
      <c r="M19" s="679"/>
    </row>
    <row r="20" spans="2:18" ht="19.5" customHeight="1" x14ac:dyDescent="0.25">
      <c r="B20" s="33" t="s">
        <v>77</v>
      </c>
      <c r="C20" s="645"/>
      <c r="D20" s="684"/>
      <c r="E20" s="720"/>
      <c r="F20" s="724"/>
      <c r="G20" s="725"/>
      <c r="H20" s="34">
        <f t="shared" ref="H20:M20" si="1">H36+H132+H161+H198+H207+H234+H226+H392</f>
        <v>2122468.7600099999</v>
      </c>
      <c r="I20" s="35">
        <f t="shared" si="1"/>
        <v>450746.06001000002</v>
      </c>
      <c r="J20" s="35">
        <f t="shared" si="1"/>
        <v>1541309.7</v>
      </c>
      <c r="K20" s="35">
        <f t="shared" si="1"/>
        <v>26478.2</v>
      </c>
      <c r="L20" s="35">
        <f t="shared" si="1"/>
        <v>23307.7</v>
      </c>
      <c r="M20" s="36">
        <f t="shared" si="1"/>
        <v>80627.100000000006</v>
      </c>
      <c r="N20" s="10"/>
    </row>
    <row r="21" spans="2:18" ht="19.5" customHeight="1" x14ac:dyDescent="0.25">
      <c r="B21" s="33" t="s">
        <v>513</v>
      </c>
      <c r="C21" s="645"/>
      <c r="D21" s="684"/>
      <c r="E21" s="720"/>
      <c r="F21" s="724"/>
      <c r="G21" s="725"/>
      <c r="H21" s="34">
        <f t="shared" ref="H21:M21" si="2">H162</f>
        <v>0</v>
      </c>
      <c r="I21" s="35">
        <f t="shared" si="2"/>
        <v>0</v>
      </c>
      <c r="J21" s="35">
        <f t="shared" si="2"/>
        <v>0</v>
      </c>
      <c r="K21" s="35">
        <f t="shared" si="2"/>
        <v>0</v>
      </c>
      <c r="L21" s="35">
        <f t="shared" si="2"/>
        <v>0</v>
      </c>
      <c r="M21" s="36">
        <f t="shared" si="2"/>
        <v>0</v>
      </c>
      <c r="N21" s="10"/>
    </row>
    <row r="22" spans="2:18" x14ac:dyDescent="0.25">
      <c r="B22" s="33" t="s">
        <v>9</v>
      </c>
      <c r="C22" s="645"/>
      <c r="D22" s="684"/>
      <c r="E22" s="720"/>
      <c r="F22" s="724"/>
      <c r="G22" s="725"/>
      <c r="H22" s="34">
        <f t="shared" ref="H22:M23" si="3">H37+H133+H163+H199+H208+H235+H227+H393</f>
        <v>8707860.3724020198</v>
      </c>
      <c r="I22" s="35">
        <f t="shared" si="3"/>
        <v>1845312.5504818801</v>
      </c>
      <c r="J22" s="35">
        <f t="shared" si="3"/>
        <v>1904937.4968870501</v>
      </c>
      <c r="K22" s="35">
        <f t="shared" si="3"/>
        <v>1998599.125030464</v>
      </c>
      <c r="L22" s="35">
        <f t="shared" si="3"/>
        <v>1550052.6000028169</v>
      </c>
      <c r="M22" s="36">
        <f t="shared" si="3"/>
        <v>1408958.5999997999</v>
      </c>
      <c r="N22" s="10"/>
      <c r="O22" s="9"/>
    </row>
    <row r="23" spans="2:18" x14ac:dyDescent="0.25">
      <c r="B23" s="33" t="s">
        <v>10</v>
      </c>
      <c r="C23" s="646"/>
      <c r="D23" s="728"/>
      <c r="E23" s="721"/>
      <c r="F23" s="726"/>
      <c r="G23" s="727"/>
      <c r="H23" s="34">
        <f t="shared" si="3"/>
        <v>224077.0614898311</v>
      </c>
      <c r="I23" s="35">
        <f t="shared" si="3"/>
        <v>62914.299999526804</v>
      </c>
      <c r="J23" s="35">
        <f t="shared" si="3"/>
        <v>44838.517140273223</v>
      </c>
      <c r="K23" s="35">
        <f t="shared" si="3"/>
        <v>43315.698840004385</v>
      </c>
      <c r="L23" s="35">
        <f t="shared" si="3"/>
        <v>47898.52832891736</v>
      </c>
      <c r="M23" s="36">
        <f t="shared" si="3"/>
        <v>25110.017181109099</v>
      </c>
      <c r="N23" s="10"/>
      <c r="O23" s="9"/>
    </row>
    <row r="24" spans="2:18" ht="17.25" x14ac:dyDescent="0.25">
      <c r="B24" s="668"/>
      <c r="C24" s="669"/>
      <c r="D24" s="669"/>
      <c r="E24" s="669"/>
      <c r="F24" s="669"/>
      <c r="G24" s="669"/>
      <c r="H24" s="669"/>
      <c r="I24" s="669"/>
      <c r="J24" s="669"/>
      <c r="K24" s="669"/>
      <c r="L24" s="669"/>
      <c r="M24" s="670"/>
    </row>
    <row r="25" spans="2:18" x14ac:dyDescent="0.25">
      <c r="B25" s="37" t="s">
        <v>129</v>
      </c>
      <c r="C25" s="38"/>
      <c r="D25" s="38"/>
      <c r="E25" s="38"/>
      <c r="F25" s="649" t="s">
        <v>875</v>
      </c>
      <c r="G25" s="650"/>
      <c r="H25" s="39"/>
      <c r="I25" s="39"/>
      <c r="J25" s="39"/>
      <c r="K25" s="40"/>
      <c r="L25" s="41"/>
      <c r="M25" s="42"/>
    </row>
    <row r="26" spans="2:18" ht="112.5" customHeight="1" x14ac:dyDescent="0.25">
      <c r="B26" s="43" t="s">
        <v>148</v>
      </c>
      <c r="C26" s="644" t="s">
        <v>634</v>
      </c>
      <c r="D26" s="44">
        <v>2022</v>
      </c>
      <c r="E26" s="44">
        <v>2026</v>
      </c>
      <c r="F26" s="651"/>
      <c r="G26" s="652"/>
      <c r="H26" s="45">
        <f>SUM(H27:H34)</f>
        <v>4962991.6024347795</v>
      </c>
      <c r="I26" s="45">
        <f>SUM(I27:I34)</f>
        <v>1050538.71862465</v>
      </c>
      <c r="J26" s="45">
        <f>SUM(J27:J34)</f>
        <v>1032029.6666714229</v>
      </c>
      <c r="K26" s="45">
        <f>SUM(K27:K34)</f>
        <v>1062241.398958707</v>
      </c>
      <c r="L26" s="45">
        <f>SUM(L27:L33)</f>
        <v>909090.90908999997</v>
      </c>
      <c r="M26" s="46">
        <f>SUM(M27:M33)</f>
        <v>909090.90908999997</v>
      </c>
      <c r="N26" s="47"/>
      <c r="O26" s="9"/>
      <c r="P26" s="9"/>
    </row>
    <row r="27" spans="2:18" x14ac:dyDescent="0.25">
      <c r="B27" s="48" t="s">
        <v>22</v>
      </c>
      <c r="C27" s="645"/>
      <c r="D27" s="49"/>
      <c r="E27" s="49"/>
      <c r="F27" s="50"/>
      <c r="G27" s="51"/>
      <c r="H27" s="52">
        <f>SUM(I27:M27)</f>
        <v>3766423.8817563625</v>
      </c>
      <c r="I27" s="53">
        <f>236984.84849-46500-6193.9036+146464.64646+151515.15151515+252525.25253-8268.49506+8771.2788+9549.0833333+17601.221229+2881.2820606-0.0367687-0.0003677-0.0000036-0.0000001+7962.80067+11097.04513-1811.64239+141.96841+837.14223+2938.86994+1163.32+1142.196+876+174.27276+300+41008.68687+14949.49495+5205.84</f>
        <v>851316.32318794995</v>
      </c>
      <c r="J27" s="53">
        <f>330755.59135-13939.3939-6060.606+2300+404040.40404+13939.3939-25252.52525-14000+6060.606+1003-13000-454545.4545455-67747.40961+226424.94949+0.00001+42906.06060606-0.01454545+83131.3131313131+62011.524+6.20177+150972.72312+5003</f>
        <v>734009.36356642295</v>
      </c>
      <c r="K27" s="53">
        <f>330755.59135-62929.2929292929+215030.362883-0.00005+251939.33414-1289.79117171717-12000-10000</f>
        <v>711506.20422198996</v>
      </c>
      <c r="L27" s="53">
        <f>330755.59135+404040.40404</f>
        <v>734795.99539000005</v>
      </c>
      <c r="M27" s="54">
        <v>734795.99539000005</v>
      </c>
      <c r="N27" s="55"/>
      <c r="O27" s="56"/>
      <c r="Q27" s="9"/>
      <c r="R27" s="9"/>
    </row>
    <row r="28" spans="2:18" x14ac:dyDescent="0.25">
      <c r="B28" s="48" t="s">
        <v>23</v>
      </c>
      <c r="C28" s="645"/>
      <c r="D28" s="49"/>
      <c r="E28" s="49"/>
      <c r="F28" s="50"/>
      <c r="G28" s="51"/>
      <c r="H28" s="52">
        <f t="shared" ref="H28:H33" si="4">SUM(I28:M28)</f>
        <v>276595.26327469997</v>
      </c>
      <c r="I28" s="57">
        <f>48000-5050.50505-682.7165253</f>
        <v>42266.778424700002</v>
      </c>
      <c r="J28" s="57">
        <f>48000-5050.50505+2025.454545</f>
        <v>44974.949495000001</v>
      </c>
      <c r="K28" s="57">
        <f>48000-5050.50505+50505.050505+10000</f>
        <v>103454.545455</v>
      </c>
      <c r="L28" s="57">
        <f>48000-5050.50505</f>
        <v>42949.49495</v>
      </c>
      <c r="M28" s="58">
        <f>48000-5050.50505</f>
        <v>42949.49495</v>
      </c>
      <c r="N28" s="59"/>
      <c r="O28" s="56"/>
      <c r="P28" s="9"/>
    </row>
    <row r="29" spans="2:18" x14ac:dyDescent="0.25">
      <c r="B29" s="48" t="s">
        <v>185</v>
      </c>
      <c r="C29" s="645"/>
      <c r="D29" s="49"/>
      <c r="E29" s="49"/>
      <c r="F29" s="50"/>
      <c r="G29" s="51"/>
      <c r="H29" s="52">
        <f t="shared" si="4"/>
        <v>580969.51800000004</v>
      </c>
      <c r="I29" s="57">
        <v>116193.90360000001</v>
      </c>
      <c r="J29" s="57">
        <f>63500+46500+6193.9036</f>
        <v>116193.90360000001</v>
      </c>
      <c r="K29" s="57">
        <f>63500+46500+6193.9036</f>
        <v>116193.90360000001</v>
      </c>
      <c r="L29" s="57">
        <f>63500+46500+6193.9036</f>
        <v>116193.90360000001</v>
      </c>
      <c r="M29" s="58">
        <f>63500+46500+6193.9036</f>
        <v>116193.90360000001</v>
      </c>
      <c r="N29" s="60"/>
      <c r="O29" s="56"/>
    </row>
    <row r="30" spans="2:18" ht="33" x14ac:dyDescent="0.25">
      <c r="B30" s="33" t="s">
        <v>224</v>
      </c>
      <c r="C30" s="645"/>
      <c r="D30" s="49"/>
      <c r="E30" s="49"/>
      <c r="F30" s="50"/>
      <c r="G30" s="51"/>
      <c r="H30" s="52">
        <f t="shared" si="4"/>
        <v>94068.851662000001</v>
      </c>
      <c r="I30" s="57">
        <f>10000+101.0101-8268.495051-0.00001+8268.49506+50+153.9846+11313.131313-5205.84</f>
        <v>16412.286012</v>
      </c>
      <c r="J30" s="57">
        <f>10000+101.0101+25252.52525+5584.75+6437.0173-6437.0173-5584.75</f>
        <v>35353.535349999998</v>
      </c>
      <c r="K30" s="57">
        <f>10000+101.0101+12000</f>
        <v>22101.0101</v>
      </c>
      <c r="L30" s="57">
        <f>10000+101.0101</f>
        <v>10101.0101</v>
      </c>
      <c r="M30" s="58">
        <f>10000+101.0101</f>
        <v>10101.0101</v>
      </c>
      <c r="N30" s="10"/>
      <c r="P30" s="9"/>
    </row>
    <row r="31" spans="2:18" ht="16.5" customHeight="1" x14ac:dyDescent="0.25">
      <c r="B31" s="33" t="s">
        <v>725</v>
      </c>
      <c r="C31" s="645"/>
      <c r="D31" s="49"/>
      <c r="E31" s="49"/>
      <c r="F31" s="50"/>
      <c r="G31" s="51"/>
      <c r="H31" s="52">
        <f t="shared" si="4"/>
        <v>8642.99</v>
      </c>
      <c r="I31" s="57">
        <v>0</v>
      </c>
      <c r="J31" s="61">
        <v>0</v>
      </c>
      <c r="K31" s="62">
        <f>10000-1357.01</f>
        <v>8642.99</v>
      </c>
      <c r="L31" s="63">
        <v>0</v>
      </c>
      <c r="M31" s="64">
        <v>0</v>
      </c>
      <c r="N31" s="10"/>
      <c r="O31" s="9"/>
      <c r="P31" s="9"/>
    </row>
    <row r="32" spans="2:18" ht="33" x14ac:dyDescent="0.25">
      <c r="B32" s="33" t="s">
        <v>25</v>
      </c>
      <c r="C32" s="645"/>
      <c r="D32" s="49"/>
      <c r="E32" s="49"/>
      <c r="F32" s="50"/>
      <c r="G32" s="51"/>
      <c r="H32" s="52">
        <f t="shared" si="4"/>
        <v>56292.92929</v>
      </c>
      <c r="I32" s="57">
        <f>5050.50505+4040.40404</f>
        <v>9090.9090899999992</v>
      </c>
      <c r="J32" s="65">
        <f>5050.50505+14000+13000</f>
        <v>32050.50505</v>
      </c>
      <c r="K32" s="66">
        <f>5050.50505</f>
        <v>5050.5050499999998</v>
      </c>
      <c r="L32" s="67">
        <v>5050.5050499999998</v>
      </c>
      <c r="M32" s="68">
        <v>5050.5050499999998</v>
      </c>
      <c r="N32" s="10"/>
    </row>
    <row r="33" spans="2:16" x14ac:dyDescent="0.25">
      <c r="B33" s="33" t="s">
        <v>154</v>
      </c>
      <c r="C33" s="645"/>
      <c r="D33" s="49"/>
      <c r="E33" s="49"/>
      <c r="F33" s="50"/>
      <c r="G33" s="51"/>
      <c r="H33" s="52">
        <f t="shared" si="4"/>
        <v>11474.096</v>
      </c>
      <c r="I33" s="61">
        <v>4944.0959999999995</v>
      </c>
      <c r="J33" s="65">
        <v>1700</v>
      </c>
      <c r="K33" s="69">
        <f>5000-170</f>
        <v>4830</v>
      </c>
      <c r="L33" s="65">
        <v>0</v>
      </c>
      <c r="M33" s="70">
        <v>0</v>
      </c>
      <c r="N33" s="10"/>
      <c r="O33" s="71"/>
    </row>
    <row r="34" spans="2:16" x14ac:dyDescent="0.25">
      <c r="B34" s="33" t="s">
        <v>26</v>
      </c>
      <c r="C34" s="646"/>
      <c r="D34" s="49"/>
      <c r="E34" s="49"/>
      <c r="F34" s="50"/>
      <c r="G34" s="51"/>
      <c r="H34" s="52">
        <f>SUM(I34:M34)</f>
        <v>168524.07245171716</v>
      </c>
      <c r="I34" s="65">
        <f>10314.42231</f>
        <v>10314.42231</v>
      </c>
      <c r="J34" s="65">
        <v>67747.409610000002</v>
      </c>
      <c r="K34" s="65">
        <f>1289791.17171717/1000+89172.44936</f>
        <v>90462.240531717165</v>
      </c>
      <c r="L34" s="65">
        <v>0</v>
      </c>
      <c r="M34" s="70">
        <v>0</v>
      </c>
    </row>
    <row r="35" spans="2:16" ht="17.25" x14ac:dyDescent="0.25">
      <c r="B35" s="72" t="s">
        <v>16</v>
      </c>
      <c r="C35" s="49"/>
      <c r="D35" s="49"/>
      <c r="E35" s="49"/>
      <c r="F35" s="50"/>
      <c r="G35" s="51"/>
      <c r="H35" s="729"/>
      <c r="I35" s="730"/>
      <c r="J35" s="730"/>
      <c r="K35" s="730"/>
      <c r="L35" s="730"/>
      <c r="M35" s="731"/>
    </row>
    <row r="36" spans="2:16" x14ac:dyDescent="0.25">
      <c r="B36" s="33" t="s">
        <v>77</v>
      </c>
      <c r="C36" s="49"/>
      <c r="D36" s="49"/>
      <c r="E36" s="49"/>
      <c r="F36" s="50"/>
      <c r="G36" s="51"/>
      <c r="H36" s="65">
        <f>SUM(I36:M36)</f>
        <v>0</v>
      </c>
      <c r="I36" s="65">
        <v>0</v>
      </c>
      <c r="J36" s="65">
        <v>0</v>
      </c>
      <c r="K36" s="65">
        <v>0</v>
      </c>
      <c r="L36" s="65">
        <v>0</v>
      </c>
      <c r="M36" s="70">
        <v>0</v>
      </c>
      <c r="N36" s="10"/>
    </row>
    <row r="37" spans="2:16" x14ac:dyDescent="0.25">
      <c r="B37" s="33" t="s">
        <v>9</v>
      </c>
      <c r="C37" s="49"/>
      <c r="D37" s="49"/>
      <c r="E37" s="49"/>
      <c r="F37" s="50"/>
      <c r="G37" s="51"/>
      <c r="H37" s="65">
        <f>SUM(I37:M37)</f>
        <v>4882475.8248719964</v>
      </c>
      <c r="I37" s="65">
        <v>1027438.6999981229</v>
      </c>
      <c r="J37" s="65">
        <f>'перечень объектов'!F135</f>
        <v>1016756.4000047536</v>
      </c>
      <c r="K37" s="65">
        <f>'перечень объектов'!F217</f>
        <v>1038280.7248691202</v>
      </c>
      <c r="L37" s="65">
        <v>900000</v>
      </c>
      <c r="M37" s="70">
        <v>900000</v>
      </c>
      <c r="N37" s="10"/>
    </row>
    <row r="38" spans="2:16" x14ac:dyDescent="0.25">
      <c r="B38" s="33" t="s">
        <v>10</v>
      </c>
      <c r="C38" s="49"/>
      <c r="D38" s="49"/>
      <c r="E38" s="49"/>
      <c r="F38" s="50"/>
      <c r="G38" s="51"/>
      <c r="H38" s="65">
        <f>SUM(I38:M38)</f>
        <v>81597.758937646795</v>
      </c>
      <c r="I38" s="65">
        <f>23100.0186265268+911.981373</f>
        <v>24011.999999526797</v>
      </c>
      <c r="J38" s="65">
        <f>'перечень объектов'!G135</f>
        <v>15273.266666714633</v>
      </c>
      <c r="K38" s="65">
        <f>'перечень объектов'!G217</f>
        <v>24130.674089587195</v>
      </c>
      <c r="L38" s="65">
        <f>L37/0.99/100</f>
        <v>9090.9090909090901</v>
      </c>
      <c r="M38" s="70">
        <f>M37/0.99/100</f>
        <v>9090.9090909090901</v>
      </c>
      <c r="N38" s="59"/>
      <c r="O38" s="73"/>
    </row>
    <row r="39" spans="2:16" ht="17.25" x14ac:dyDescent="0.25">
      <c r="B39" s="692"/>
      <c r="C39" s="669"/>
      <c r="D39" s="669"/>
      <c r="E39" s="669"/>
      <c r="F39" s="669"/>
      <c r="G39" s="669"/>
      <c r="H39" s="669"/>
      <c r="I39" s="669"/>
      <c r="J39" s="669"/>
      <c r="K39" s="669"/>
      <c r="L39" s="669"/>
      <c r="M39" s="670"/>
    </row>
    <row r="40" spans="2:16" x14ac:dyDescent="0.25">
      <c r="B40" s="74" t="s">
        <v>130</v>
      </c>
      <c r="C40" s="644" t="s">
        <v>728</v>
      </c>
      <c r="D40" s="75"/>
      <c r="E40" s="75"/>
      <c r="F40" s="696" t="s">
        <v>876</v>
      </c>
      <c r="G40" s="697"/>
      <c r="H40" s="76"/>
      <c r="I40" s="76"/>
      <c r="J40" s="76"/>
      <c r="K40" s="77"/>
      <c r="L40" s="78"/>
      <c r="M40" s="79"/>
    </row>
    <row r="41" spans="2:16" ht="54" customHeight="1" x14ac:dyDescent="0.25">
      <c r="B41" s="665" t="s">
        <v>15</v>
      </c>
      <c r="C41" s="645"/>
      <c r="D41" s="644">
        <v>2022</v>
      </c>
      <c r="E41" s="641">
        <v>2026</v>
      </c>
      <c r="F41" s="698"/>
      <c r="G41" s="697"/>
      <c r="H41" s="699">
        <f>SUM(H44:H130)</f>
        <v>484274.18886353547</v>
      </c>
      <c r="I41" s="662">
        <f>SUM(I44:I130)</f>
        <v>226895.60840999999</v>
      </c>
      <c r="J41" s="662">
        <f>SUM(J44:J130)</f>
        <v>47381.027370000003</v>
      </c>
      <c r="K41" s="662">
        <f>SUM(K44:K130)</f>
        <v>135554.07189353538</v>
      </c>
      <c r="L41" s="662">
        <f>L129</f>
        <v>1425</v>
      </c>
      <c r="M41" s="740">
        <f>SUM(M44:M130)</f>
        <v>3947</v>
      </c>
      <c r="N41" s="10"/>
      <c r="O41" s="9"/>
      <c r="P41" s="9"/>
    </row>
    <row r="42" spans="2:16" ht="18.75" customHeight="1" x14ac:dyDescent="0.25">
      <c r="B42" s="666"/>
      <c r="C42" s="645"/>
      <c r="D42" s="686"/>
      <c r="E42" s="642"/>
      <c r="F42" s="80">
        <f>SUM(F44:F130)</f>
        <v>196507.5</v>
      </c>
      <c r="G42" s="81" t="s">
        <v>94</v>
      </c>
      <c r="H42" s="700"/>
      <c r="I42" s="663"/>
      <c r="J42" s="663"/>
      <c r="K42" s="663"/>
      <c r="L42" s="663"/>
      <c r="M42" s="741"/>
      <c r="N42" s="10"/>
      <c r="O42" s="9"/>
      <c r="P42" s="9"/>
    </row>
    <row r="43" spans="2:16" ht="18.75" customHeight="1" x14ac:dyDescent="0.25">
      <c r="B43" s="667"/>
      <c r="C43" s="645"/>
      <c r="D43" s="687"/>
      <c r="E43" s="643"/>
      <c r="F43" s="82">
        <f>SUM(G44:G130)</f>
        <v>19.398799999999998</v>
      </c>
      <c r="G43" s="83" t="s">
        <v>105</v>
      </c>
      <c r="H43" s="701"/>
      <c r="I43" s="664"/>
      <c r="J43" s="664"/>
      <c r="K43" s="664"/>
      <c r="L43" s="664"/>
      <c r="M43" s="742"/>
      <c r="N43" s="10"/>
      <c r="O43" s="9"/>
    </row>
    <row r="44" spans="2:16" x14ac:dyDescent="0.25">
      <c r="B44" s="33" t="s">
        <v>153</v>
      </c>
      <c r="C44" s="645"/>
      <c r="D44" s="84"/>
      <c r="E44" s="85"/>
      <c r="F44" s="86" t="s">
        <v>223</v>
      </c>
      <c r="G44" s="87" t="s">
        <v>223</v>
      </c>
      <c r="H44" s="52">
        <f>SUM(I44:M44)</f>
        <v>21875.829000000002</v>
      </c>
      <c r="I44" s="57">
        <f>21875.829-9370.03028</f>
        <v>12505.798720000001</v>
      </c>
      <c r="J44" s="65">
        <v>9370.0302800000009</v>
      </c>
      <c r="K44" s="65">
        <v>0</v>
      </c>
      <c r="L44" s="65">
        <v>0</v>
      </c>
      <c r="M44" s="70">
        <v>0</v>
      </c>
    </row>
    <row r="45" spans="2:16" x14ac:dyDescent="0.25">
      <c r="B45" s="33" t="s">
        <v>151</v>
      </c>
      <c r="C45" s="645"/>
      <c r="D45" s="84"/>
      <c r="E45" s="49"/>
      <c r="F45" s="86">
        <f>15760</f>
        <v>15760</v>
      </c>
      <c r="G45" s="88">
        <f>1.97</f>
        <v>1.97</v>
      </c>
      <c r="H45" s="52">
        <f t="shared" ref="H45:H130" si="5">SUM(I45:M45)</f>
        <v>38647.63392</v>
      </c>
      <c r="I45" s="61">
        <f>40996.9056-40996.9056+43570.4568-4922.82288</f>
        <v>38647.63392</v>
      </c>
      <c r="J45" s="65">
        <v>0</v>
      </c>
      <c r="K45" s="65">
        <v>0</v>
      </c>
      <c r="L45" s="65">
        <v>0</v>
      </c>
      <c r="M45" s="70">
        <v>0</v>
      </c>
    </row>
    <row r="46" spans="2:16" ht="18" customHeight="1" x14ac:dyDescent="0.25">
      <c r="B46" s="33" t="s">
        <v>152</v>
      </c>
      <c r="C46" s="645"/>
      <c r="D46" s="84"/>
      <c r="E46" s="49"/>
      <c r="F46" s="86">
        <f>910*8</f>
        <v>7280</v>
      </c>
      <c r="G46" s="88">
        <v>0.91</v>
      </c>
      <c r="H46" s="52">
        <f t="shared" si="5"/>
        <v>9261.9189200000001</v>
      </c>
      <c r="I46" s="61">
        <f>9409.2336-9409.2336+9900.5724-638.65348</f>
        <v>9261.9189200000001</v>
      </c>
      <c r="J46" s="65">
        <v>0</v>
      </c>
      <c r="K46" s="65">
        <v>0</v>
      </c>
      <c r="L46" s="65">
        <v>0</v>
      </c>
      <c r="M46" s="70">
        <v>0</v>
      </c>
    </row>
    <row r="47" spans="2:16" ht="33" x14ac:dyDescent="0.25">
      <c r="B47" s="33" t="s">
        <v>269</v>
      </c>
      <c r="C47" s="645"/>
      <c r="D47" s="84"/>
      <c r="E47" s="49"/>
      <c r="F47" s="86">
        <f>(970*8)/2</f>
        <v>3880</v>
      </c>
      <c r="G47" s="88">
        <f>0.97</f>
        <v>0.97</v>
      </c>
      <c r="H47" s="52">
        <f t="shared" si="5"/>
        <v>11337.800439999999</v>
      </c>
      <c r="I47" s="61">
        <f>59957.1+454.5439-999+0.00558-10700-107-1.07-0.0107-0.00011-28539.168-1572+33608.78788-52102.18855+48548.7648-40383.42241+2416.78801+755.67004</f>
        <v>11337.800439999999</v>
      </c>
      <c r="J47" s="65">
        <v>0</v>
      </c>
      <c r="K47" s="65">
        <v>0</v>
      </c>
      <c r="L47" s="65">
        <v>0</v>
      </c>
      <c r="M47" s="70">
        <v>0</v>
      </c>
      <c r="N47" s="10"/>
    </row>
    <row r="48" spans="2:16" x14ac:dyDescent="0.25">
      <c r="B48" s="33" t="s">
        <v>186</v>
      </c>
      <c r="C48" s="645"/>
      <c r="D48" s="84"/>
      <c r="E48" s="49"/>
      <c r="F48" s="86">
        <f>180*8</f>
        <v>1440</v>
      </c>
      <c r="G48" s="88">
        <v>0.18</v>
      </c>
      <c r="H48" s="52">
        <f t="shared" si="5"/>
        <v>1703.5781199999999</v>
      </c>
      <c r="I48" s="61">
        <v>1703.5781199999999</v>
      </c>
      <c r="J48" s="65">
        <v>0</v>
      </c>
      <c r="K48" s="65">
        <v>0</v>
      </c>
      <c r="L48" s="65">
        <v>0</v>
      </c>
      <c r="M48" s="70">
        <v>0</v>
      </c>
    </row>
    <row r="49" spans="2:15" x14ac:dyDescent="0.25">
      <c r="B49" s="33" t="s">
        <v>225</v>
      </c>
      <c r="C49" s="645"/>
      <c r="D49" s="84"/>
      <c r="E49" s="49"/>
      <c r="F49" s="86">
        <f>4566.1</f>
        <v>4566.1000000000004</v>
      </c>
      <c r="G49" s="88">
        <v>0.45</v>
      </c>
      <c r="H49" s="52">
        <f t="shared" si="5"/>
        <v>6061.13562</v>
      </c>
      <c r="I49" s="61">
        <f>6303.57202-242.4364</f>
        <v>6061.13562</v>
      </c>
      <c r="J49" s="61">
        <v>0</v>
      </c>
      <c r="K49" s="61">
        <v>0</v>
      </c>
      <c r="L49" s="61">
        <v>0</v>
      </c>
      <c r="M49" s="70">
        <v>0</v>
      </c>
      <c r="O49" s="73"/>
    </row>
    <row r="50" spans="2:15" x14ac:dyDescent="0.25">
      <c r="B50" s="33" t="s">
        <v>267</v>
      </c>
      <c r="C50" s="645"/>
      <c r="D50" s="84"/>
      <c r="E50" s="49"/>
      <c r="F50" s="86">
        <v>2240</v>
      </c>
      <c r="G50" s="88">
        <v>0.25</v>
      </c>
      <c r="H50" s="52">
        <f t="shared" si="5"/>
        <v>6500</v>
      </c>
      <c r="I50" s="61">
        <v>6500</v>
      </c>
      <c r="J50" s="61">
        <v>0</v>
      </c>
      <c r="K50" s="61">
        <v>0</v>
      </c>
      <c r="L50" s="61">
        <v>0</v>
      </c>
      <c r="M50" s="89">
        <v>0</v>
      </c>
    </row>
    <row r="51" spans="2:15" ht="33" x14ac:dyDescent="0.25">
      <c r="B51" s="33" t="s">
        <v>301</v>
      </c>
      <c r="C51" s="645"/>
      <c r="D51" s="84"/>
      <c r="E51" s="49"/>
      <c r="F51" s="86">
        <v>7245</v>
      </c>
      <c r="G51" s="88">
        <v>0.54400000000000004</v>
      </c>
      <c r="H51" s="52">
        <f t="shared" si="5"/>
        <v>8709.3001899999999</v>
      </c>
      <c r="I51" s="61">
        <v>8709.3001899999999</v>
      </c>
      <c r="J51" s="61">
        <v>0</v>
      </c>
      <c r="K51" s="61">
        <v>0</v>
      </c>
      <c r="L51" s="61">
        <v>0</v>
      </c>
      <c r="M51" s="89">
        <v>0</v>
      </c>
    </row>
    <row r="52" spans="2:15" ht="33" x14ac:dyDescent="0.25">
      <c r="B52" s="33" t="s">
        <v>290</v>
      </c>
      <c r="C52" s="645"/>
      <c r="D52" s="84"/>
      <c r="E52" s="49"/>
      <c r="F52" s="86">
        <v>9429</v>
      </c>
      <c r="G52" s="88">
        <v>0.371</v>
      </c>
      <c r="H52" s="52">
        <f t="shared" si="5"/>
        <v>8580.8336600000002</v>
      </c>
      <c r="I52" s="61">
        <v>8580.8336600000002</v>
      </c>
      <c r="J52" s="61">
        <v>0</v>
      </c>
      <c r="K52" s="61">
        <v>0</v>
      </c>
      <c r="L52" s="61">
        <v>0</v>
      </c>
      <c r="M52" s="89">
        <v>0</v>
      </c>
    </row>
    <row r="53" spans="2:15" x14ac:dyDescent="0.25">
      <c r="B53" s="33" t="s">
        <v>291</v>
      </c>
      <c r="C53" s="645"/>
      <c r="D53" s="84"/>
      <c r="E53" s="49"/>
      <c r="F53" s="86">
        <v>10756</v>
      </c>
      <c r="G53" s="88">
        <v>1.47</v>
      </c>
      <c r="H53" s="52">
        <f t="shared" si="5"/>
        <v>15231.91966</v>
      </c>
      <c r="I53" s="61">
        <v>15231.91966</v>
      </c>
      <c r="J53" s="61">
        <v>0</v>
      </c>
      <c r="K53" s="61">
        <v>0</v>
      </c>
      <c r="L53" s="61">
        <v>0</v>
      </c>
      <c r="M53" s="89">
        <v>0</v>
      </c>
    </row>
    <row r="54" spans="2:15" x14ac:dyDescent="0.25">
      <c r="B54" s="33" t="s">
        <v>167</v>
      </c>
      <c r="C54" s="645"/>
      <c r="D54" s="84"/>
      <c r="E54" s="49"/>
      <c r="F54" s="86">
        <v>9684</v>
      </c>
      <c r="G54" s="88">
        <v>1.29</v>
      </c>
      <c r="H54" s="52">
        <f t="shared" si="5"/>
        <v>13849.912850000001</v>
      </c>
      <c r="I54" s="61">
        <v>13849.912850000001</v>
      </c>
      <c r="J54" s="61">
        <v>0</v>
      </c>
      <c r="K54" s="61">
        <v>0</v>
      </c>
      <c r="L54" s="61">
        <v>0</v>
      </c>
      <c r="M54" s="89">
        <v>0</v>
      </c>
    </row>
    <row r="55" spans="2:15" x14ac:dyDescent="0.25">
      <c r="B55" s="33" t="s">
        <v>292</v>
      </c>
      <c r="C55" s="645"/>
      <c r="D55" s="84"/>
      <c r="E55" s="49"/>
      <c r="F55" s="86">
        <v>7256</v>
      </c>
      <c r="G55" s="88">
        <v>1.3</v>
      </c>
      <c r="H55" s="52">
        <f t="shared" si="5"/>
        <v>10413.80616</v>
      </c>
      <c r="I55" s="61">
        <v>10413.80616</v>
      </c>
      <c r="J55" s="61">
        <v>0</v>
      </c>
      <c r="K55" s="61">
        <v>0</v>
      </c>
      <c r="L55" s="61">
        <v>0</v>
      </c>
      <c r="M55" s="89">
        <v>0</v>
      </c>
    </row>
    <row r="56" spans="2:15" ht="132" x14ac:dyDescent="0.25">
      <c r="B56" s="33" t="s">
        <v>302</v>
      </c>
      <c r="C56" s="645"/>
      <c r="D56" s="84"/>
      <c r="E56" s="49"/>
      <c r="F56" s="86" t="s">
        <v>223</v>
      </c>
      <c r="G56" s="90" t="s">
        <v>223</v>
      </c>
      <c r="H56" s="52">
        <f t="shared" si="5"/>
        <v>4069.5383900000002</v>
      </c>
      <c r="I56" s="61">
        <v>4069.5383900000002</v>
      </c>
      <c r="J56" s="61">
        <v>0</v>
      </c>
      <c r="K56" s="61">
        <v>0</v>
      </c>
      <c r="L56" s="61">
        <v>0</v>
      </c>
      <c r="M56" s="89">
        <v>0</v>
      </c>
      <c r="N56" s="10"/>
      <c r="O56" s="56"/>
    </row>
    <row r="57" spans="2:15" ht="18" hidden="1" customHeight="1" outlineLevel="1" x14ac:dyDescent="0.25">
      <c r="B57" s="33" t="s">
        <v>303</v>
      </c>
      <c r="C57" s="645"/>
      <c r="D57" s="49"/>
      <c r="E57" s="49"/>
      <c r="F57" s="86"/>
      <c r="G57" s="88"/>
      <c r="H57" s="52">
        <f t="shared" si="5"/>
        <v>0</v>
      </c>
      <c r="I57" s="61">
        <f>15000-15000</f>
        <v>0</v>
      </c>
      <c r="J57" s="61">
        <v>0</v>
      </c>
      <c r="K57" s="61">
        <v>0</v>
      </c>
      <c r="L57" s="61">
        <v>0</v>
      </c>
      <c r="M57" s="89">
        <v>0</v>
      </c>
      <c r="N57" s="10"/>
      <c r="O57" s="9"/>
    </row>
    <row r="58" spans="2:15" ht="18" hidden="1" customHeight="1" outlineLevel="1" x14ac:dyDescent="0.25">
      <c r="B58" s="33" t="s">
        <v>738</v>
      </c>
      <c r="C58" s="645"/>
      <c r="D58" s="49"/>
      <c r="E58" s="49"/>
      <c r="F58" s="86"/>
      <c r="G58" s="88"/>
      <c r="H58" s="52">
        <f t="shared" si="5"/>
        <v>0</v>
      </c>
      <c r="I58" s="61">
        <v>0</v>
      </c>
      <c r="J58" s="61">
        <v>0</v>
      </c>
      <c r="K58" s="61">
        <f>2893.69738-2893.69738</f>
        <v>0</v>
      </c>
      <c r="L58" s="61">
        <v>0</v>
      </c>
      <c r="M58" s="89">
        <v>0</v>
      </c>
      <c r="N58" s="10"/>
      <c r="O58" s="9"/>
    </row>
    <row r="59" spans="2:15" ht="18" hidden="1" customHeight="1" outlineLevel="1" x14ac:dyDescent="0.25">
      <c r="B59" s="33" t="s">
        <v>739</v>
      </c>
      <c r="C59" s="645"/>
      <c r="D59" s="49"/>
      <c r="E59" s="49"/>
      <c r="F59" s="86"/>
      <c r="G59" s="88"/>
      <c r="H59" s="52">
        <f t="shared" si="5"/>
        <v>0</v>
      </c>
      <c r="I59" s="61">
        <v>0</v>
      </c>
      <c r="J59" s="61">
        <v>0</v>
      </c>
      <c r="K59" s="61">
        <f>7569.79999-7569.79999</f>
        <v>0</v>
      </c>
      <c r="L59" s="61">
        <v>0</v>
      </c>
      <c r="M59" s="89">
        <v>0</v>
      </c>
      <c r="N59" s="10"/>
      <c r="O59" s="9"/>
    </row>
    <row r="60" spans="2:15" ht="33" collapsed="1" x14ac:dyDescent="0.25">
      <c r="B60" s="48" t="s">
        <v>760</v>
      </c>
      <c r="C60" s="645"/>
      <c r="D60" s="49"/>
      <c r="E60" s="49"/>
      <c r="F60" s="86">
        <v>4085</v>
      </c>
      <c r="G60" s="88">
        <v>0.43</v>
      </c>
      <c r="H60" s="52">
        <f t="shared" si="5"/>
        <v>22210.927169999999</v>
      </c>
      <c r="I60" s="61">
        <v>0</v>
      </c>
      <c r="J60" s="61">
        <v>0</v>
      </c>
      <c r="K60" s="61">
        <f>'перечень объектов'!C235</f>
        <v>22210.927169999999</v>
      </c>
      <c r="L60" s="61">
        <v>0</v>
      </c>
      <c r="M60" s="89">
        <v>0</v>
      </c>
      <c r="N60" s="10"/>
      <c r="O60" s="9"/>
    </row>
    <row r="61" spans="2:15" x14ac:dyDescent="0.25">
      <c r="B61" s="48" t="s">
        <v>761</v>
      </c>
      <c r="C61" s="645"/>
      <c r="D61" s="49"/>
      <c r="E61" s="49"/>
      <c r="F61" s="86">
        <v>4568</v>
      </c>
      <c r="G61" s="88">
        <v>0.45</v>
      </c>
      <c r="H61" s="52">
        <f t="shared" si="5"/>
        <v>5471.4927100000004</v>
      </c>
      <c r="I61" s="61">
        <v>0</v>
      </c>
      <c r="J61" s="61">
        <v>0</v>
      </c>
      <c r="K61" s="61">
        <f>'перечень объектов'!C236</f>
        <v>5471.4927100000004</v>
      </c>
      <c r="L61" s="61">
        <v>0</v>
      </c>
      <c r="M61" s="89">
        <v>0</v>
      </c>
      <c r="N61" s="10"/>
      <c r="O61" s="9"/>
    </row>
    <row r="62" spans="2:15" x14ac:dyDescent="0.25">
      <c r="B62" s="48" t="s">
        <v>762</v>
      </c>
      <c r="C62" s="645"/>
      <c r="D62" s="49"/>
      <c r="E62" s="49"/>
      <c r="F62" s="86">
        <v>5895</v>
      </c>
      <c r="G62" s="88">
        <v>0.79</v>
      </c>
      <c r="H62" s="52">
        <f t="shared" si="5"/>
        <v>11512.287840000001</v>
      </c>
      <c r="I62" s="61">
        <v>0</v>
      </c>
      <c r="J62" s="61">
        <v>0</v>
      </c>
      <c r="K62" s="61">
        <f>'перечень объектов'!C237</f>
        <v>11512.287840000001</v>
      </c>
      <c r="L62" s="61">
        <v>0</v>
      </c>
      <c r="M62" s="89">
        <v>0</v>
      </c>
      <c r="N62" s="10"/>
      <c r="O62" s="9"/>
    </row>
    <row r="63" spans="2:15" x14ac:dyDescent="0.25">
      <c r="B63" s="48" t="s">
        <v>763</v>
      </c>
      <c r="C63" s="645"/>
      <c r="D63" s="49"/>
      <c r="E63" s="49"/>
      <c r="F63" s="86">
        <v>5320</v>
      </c>
      <c r="G63" s="88">
        <v>0.7</v>
      </c>
      <c r="H63" s="52">
        <f t="shared" si="5"/>
        <v>9557.3479200000002</v>
      </c>
      <c r="I63" s="61">
        <v>0</v>
      </c>
      <c r="J63" s="61">
        <v>0</v>
      </c>
      <c r="K63" s="61">
        <f>'перечень объектов'!C238</f>
        <v>9557.3479200000002</v>
      </c>
      <c r="L63" s="61">
        <v>0</v>
      </c>
      <c r="M63" s="89">
        <v>0</v>
      </c>
      <c r="N63" s="10"/>
      <c r="O63" s="9"/>
    </row>
    <row r="64" spans="2:15" hidden="1" x14ac:dyDescent="0.25">
      <c r="B64" s="48" t="s">
        <v>743</v>
      </c>
      <c r="C64" s="645"/>
      <c r="D64" s="49"/>
      <c r="E64" s="49"/>
      <c r="F64" s="86">
        <v>3285</v>
      </c>
      <c r="G64" s="88">
        <v>0.45</v>
      </c>
      <c r="H64" s="52">
        <f t="shared" si="5"/>
        <v>6200</v>
      </c>
      <c r="I64" s="61">
        <v>0</v>
      </c>
      <c r="J64" s="61">
        <v>0</v>
      </c>
      <c r="K64" s="61">
        <v>0</v>
      </c>
      <c r="L64" s="61">
        <v>6200</v>
      </c>
      <c r="M64" s="89">
        <v>0</v>
      </c>
      <c r="N64" s="10"/>
      <c r="O64" s="9"/>
    </row>
    <row r="65" spans="2:15" hidden="1" x14ac:dyDescent="0.25">
      <c r="B65" s="48" t="s">
        <v>745</v>
      </c>
      <c r="C65" s="645"/>
      <c r="D65" s="49"/>
      <c r="E65" s="49"/>
      <c r="F65" s="86">
        <v>6205</v>
      </c>
      <c r="G65" s="88">
        <v>0.73</v>
      </c>
      <c r="H65" s="52">
        <f t="shared" si="5"/>
        <v>10300</v>
      </c>
      <c r="I65" s="61">
        <v>0</v>
      </c>
      <c r="J65" s="61">
        <v>0</v>
      </c>
      <c r="K65" s="61">
        <v>0</v>
      </c>
      <c r="L65" s="61">
        <f>10300</f>
        <v>10300</v>
      </c>
      <c r="M65" s="89">
        <v>0</v>
      </c>
      <c r="N65" s="10"/>
      <c r="O65" s="9"/>
    </row>
    <row r="66" spans="2:15" hidden="1" x14ac:dyDescent="0.25">
      <c r="B66" s="48" t="s">
        <v>746</v>
      </c>
      <c r="C66" s="645"/>
      <c r="D66" s="49"/>
      <c r="E66" s="49"/>
      <c r="F66" s="86">
        <v>4505</v>
      </c>
      <c r="G66" s="88">
        <v>0.53</v>
      </c>
      <c r="H66" s="52">
        <f t="shared" si="5"/>
        <v>8500</v>
      </c>
      <c r="I66" s="61">
        <v>0</v>
      </c>
      <c r="J66" s="61">
        <v>0</v>
      </c>
      <c r="K66" s="61">
        <v>0</v>
      </c>
      <c r="L66" s="61">
        <v>8500</v>
      </c>
      <c r="M66" s="89">
        <v>0</v>
      </c>
      <c r="N66" s="10"/>
      <c r="O66" s="9"/>
    </row>
    <row r="67" spans="2:15" ht="33" x14ac:dyDescent="0.25">
      <c r="B67" s="48" t="str">
        <f>'перечень объектов'!B239</f>
        <v>ул. Полесская от ул. Максима Горького до ул. Генерала Родина (1 этап)</v>
      </c>
      <c r="C67" s="645"/>
      <c r="D67" s="49"/>
      <c r="E67" s="49"/>
      <c r="F67" s="86">
        <v>18050</v>
      </c>
      <c r="G67" s="91">
        <v>1.1617999999999999</v>
      </c>
      <c r="H67" s="52">
        <f>SUM(I67:M67)</f>
        <v>32224.07605</v>
      </c>
      <c r="I67" s="61">
        <v>0</v>
      </c>
      <c r="J67" s="61">
        <v>0</v>
      </c>
      <c r="K67" s="61">
        <f>'перечень объектов'!C239</f>
        <v>32224.07605</v>
      </c>
      <c r="L67" s="61">
        <v>0</v>
      </c>
      <c r="M67" s="89">
        <v>0</v>
      </c>
      <c r="N67" s="10"/>
      <c r="O67" s="9"/>
    </row>
    <row r="68" spans="2:15" ht="33" hidden="1" x14ac:dyDescent="0.25">
      <c r="B68" s="48" t="str">
        <f>'перечень объектов'!B350</f>
        <v>ул. Полесская от ул. Максима Горького до ул. Генерала Родина (2 этап)</v>
      </c>
      <c r="C68" s="645"/>
      <c r="D68" s="49"/>
      <c r="E68" s="49"/>
      <c r="F68" s="86"/>
      <c r="G68" s="91"/>
      <c r="H68" s="52">
        <f>SUM(I68:M68)</f>
        <v>10275.92395</v>
      </c>
      <c r="I68" s="61">
        <v>0</v>
      </c>
      <c r="J68" s="61">
        <v>0</v>
      </c>
      <c r="K68" s="61">
        <v>0</v>
      </c>
      <c r="L68" s="61">
        <f>'перечень объектов'!C350</f>
        <v>10275.92395</v>
      </c>
      <c r="M68" s="89">
        <v>0</v>
      </c>
      <c r="N68" s="10"/>
      <c r="O68" s="9"/>
    </row>
    <row r="69" spans="2:15" ht="18" customHeight="1" x14ac:dyDescent="0.25">
      <c r="B69" s="48" t="s">
        <v>866</v>
      </c>
      <c r="C69" s="645"/>
      <c r="D69" s="49"/>
      <c r="E69" s="49"/>
      <c r="F69" s="86">
        <v>5228</v>
      </c>
      <c r="G69" s="92">
        <v>0.61499999999999999</v>
      </c>
      <c r="H69" s="52">
        <f t="shared" si="5"/>
        <v>15700</v>
      </c>
      <c r="I69" s="61">
        <v>0</v>
      </c>
      <c r="J69" s="61">
        <v>0</v>
      </c>
      <c r="K69" s="61">
        <f>'перечень объектов'!C240</f>
        <v>15700</v>
      </c>
      <c r="L69" s="61">
        <v>0</v>
      </c>
      <c r="M69" s="89">
        <v>0</v>
      </c>
      <c r="N69" s="10"/>
      <c r="O69" s="9"/>
    </row>
    <row r="70" spans="2:15" ht="49.5" x14ac:dyDescent="0.25">
      <c r="B70" s="48" t="s">
        <v>748</v>
      </c>
      <c r="C70" s="645"/>
      <c r="D70" s="49"/>
      <c r="E70" s="49"/>
      <c r="F70" s="86">
        <v>6115</v>
      </c>
      <c r="G70" s="88">
        <v>0.63</v>
      </c>
      <c r="H70" s="52">
        <f t="shared" si="5"/>
        <v>3990</v>
      </c>
      <c r="I70" s="61">
        <v>0</v>
      </c>
      <c r="J70" s="61">
        <v>0</v>
      </c>
      <c r="K70" s="61">
        <f>'перечень объектов'!C241</f>
        <v>3990</v>
      </c>
      <c r="L70" s="61">
        <v>0</v>
      </c>
      <c r="M70" s="89">
        <v>0</v>
      </c>
      <c r="N70" s="10"/>
      <c r="O70" s="9"/>
    </row>
    <row r="71" spans="2:15" ht="33" x14ac:dyDescent="0.25">
      <c r="B71" s="48" t="s">
        <v>764</v>
      </c>
      <c r="C71" s="645"/>
      <c r="D71" s="49"/>
      <c r="E71" s="49"/>
      <c r="F71" s="86">
        <v>6890</v>
      </c>
      <c r="G71" s="88">
        <v>0.33200000000000002</v>
      </c>
      <c r="H71" s="52">
        <f t="shared" si="5"/>
        <v>4235.45939</v>
      </c>
      <c r="I71" s="61">
        <v>0</v>
      </c>
      <c r="J71" s="61">
        <v>0</v>
      </c>
      <c r="K71" s="61">
        <f>'перечень объектов'!C242</f>
        <v>4235.45939</v>
      </c>
      <c r="L71" s="61">
        <v>0</v>
      </c>
      <c r="M71" s="89">
        <v>0</v>
      </c>
      <c r="N71" s="10"/>
      <c r="O71" s="9"/>
    </row>
    <row r="72" spans="2:15" x14ac:dyDescent="0.25">
      <c r="B72" s="48" t="s">
        <v>750</v>
      </c>
      <c r="C72" s="645"/>
      <c r="D72" s="49"/>
      <c r="E72" s="49"/>
      <c r="F72" s="86">
        <v>3140</v>
      </c>
      <c r="G72" s="88">
        <v>0.154</v>
      </c>
      <c r="H72" s="52">
        <f t="shared" si="5"/>
        <v>4360.8514599999999</v>
      </c>
      <c r="I72" s="61">
        <v>0</v>
      </c>
      <c r="J72" s="61">
        <v>0</v>
      </c>
      <c r="K72" s="61">
        <f>'перечень объектов'!C243</f>
        <v>4360.8514599999999</v>
      </c>
      <c r="L72" s="61">
        <v>0</v>
      </c>
      <c r="M72" s="89">
        <v>0</v>
      </c>
      <c r="N72" s="10"/>
      <c r="O72" s="9"/>
    </row>
    <row r="73" spans="2:15" hidden="1" x14ac:dyDescent="0.25">
      <c r="B73" s="48" t="s">
        <v>765</v>
      </c>
      <c r="C73" s="645"/>
      <c r="D73" s="49"/>
      <c r="E73" s="49"/>
      <c r="F73" s="86">
        <f>G73*11000</f>
        <v>11010.999999999998</v>
      </c>
      <c r="G73" s="88">
        <v>1.0009999999999999</v>
      </c>
      <c r="H73" s="52">
        <f t="shared" si="5"/>
        <v>33795.557240000002</v>
      </c>
      <c r="I73" s="61">
        <v>0</v>
      </c>
      <c r="J73" s="61">
        <v>0</v>
      </c>
      <c r="K73" s="61">
        <v>0</v>
      </c>
      <c r="L73" s="61">
        <f>'перечень объектов'!C349</f>
        <v>33795.557240000002</v>
      </c>
      <c r="M73" s="89">
        <v>0</v>
      </c>
      <c r="N73" s="10"/>
      <c r="O73" s="66"/>
    </row>
    <row r="74" spans="2:15" ht="33" x14ac:dyDescent="0.25">
      <c r="B74" s="33" t="s">
        <v>768</v>
      </c>
      <c r="C74" s="645"/>
      <c r="D74" s="49"/>
      <c r="E74" s="49"/>
      <c r="F74" s="86">
        <f>2191+300+5456.7+646.7</f>
        <v>8594.4</v>
      </c>
      <c r="G74" s="90" t="s">
        <v>223</v>
      </c>
      <c r="H74" s="69">
        <f>SUM(I74:M74)</f>
        <v>22847.629353535354</v>
      </c>
      <c r="I74" s="61">
        <v>0</v>
      </c>
      <c r="J74" s="93">
        <v>0</v>
      </c>
      <c r="K74" s="65">
        <f>'перечень объектов'!C244</f>
        <v>22847.629353535354</v>
      </c>
      <c r="L74" s="61">
        <v>0</v>
      </c>
      <c r="M74" s="94">
        <v>0</v>
      </c>
      <c r="N74" s="10"/>
      <c r="O74" s="9"/>
    </row>
    <row r="75" spans="2:15" ht="33" x14ac:dyDescent="0.25">
      <c r="B75" s="33" t="s">
        <v>307</v>
      </c>
      <c r="C75" s="645"/>
      <c r="D75" s="49"/>
      <c r="E75" s="49"/>
      <c r="F75" s="86"/>
      <c r="G75" s="95" t="s">
        <v>497</v>
      </c>
      <c r="H75" s="52">
        <f t="shared" si="5"/>
        <v>770.94519000000003</v>
      </c>
      <c r="I75" s="61">
        <f>27*25.7</f>
        <v>693.9</v>
      </c>
      <c r="J75" s="61">
        <f>25.68173*3</f>
        <v>77.045190000000005</v>
      </c>
      <c r="K75" s="61">
        <v>0</v>
      </c>
      <c r="L75" s="61">
        <v>0</v>
      </c>
      <c r="M75" s="89">
        <v>0</v>
      </c>
    </row>
    <row r="76" spans="2:15" ht="33" x14ac:dyDescent="0.25">
      <c r="B76" s="33" t="s">
        <v>308</v>
      </c>
      <c r="C76" s="645"/>
      <c r="D76" s="49"/>
      <c r="E76" s="49"/>
      <c r="F76" s="86"/>
      <c r="G76" s="95" t="s">
        <v>447</v>
      </c>
      <c r="H76" s="52">
        <f t="shared" si="5"/>
        <v>513.98172999999997</v>
      </c>
      <c r="I76" s="61">
        <f>19*25.7</f>
        <v>488.3</v>
      </c>
      <c r="J76" s="61">
        <f>25.68173*1</f>
        <v>25.681730000000002</v>
      </c>
      <c r="K76" s="61">
        <v>0</v>
      </c>
      <c r="L76" s="61">
        <v>0</v>
      </c>
      <c r="M76" s="89">
        <v>0</v>
      </c>
    </row>
    <row r="77" spans="2:15" ht="33" x14ac:dyDescent="0.25">
      <c r="B77" s="33" t="s">
        <v>309</v>
      </c>
      <c r="C77" s="645"/>
      <c r="D77" s="49"/>
      <c r="E77" s="49"/>
      <c r="F77" s="86"/>
      <c r="G77" s="95" t="s">
        <v>210</v>
      </c>
      <c r="H77" s="52">
        <f t="shared" si="5"/>
        <v>128.5</v>
      </c>
      <c r="I77" s="61">
        <f>5*25.7</f>
        <v>128.5</v>
      </c>
      <c r="J77" s="61">
        <v>0</v>
      </c>
      <c r="K77" s="61">
        <v>0</v>
      </c>
      <c r="L77" s="61">
        <v>0</v>
      </c>
      <c r="M77" s="89">
        <v>0</v>
      </c>
    </row>
    <row r="78" spans="2:15" ht="33" x14ac:dyDescent="0.25">
      <c r="B78" s="33" t="s">
        <v>331</v>
      </c>
      <c r="C78" s="645"/>
      <c r="D78" s="49"/>
      <c r="E78" s="49"/>
      <c r="F78" s="86"/>
      <c r="G78" s="96" t="s">
        <v>336</v>
      </c>
      <c r="H78" s="52">
        <f t="shared" si="5"/>
        <v>77.099999999999994</v>
      </c>
      <c r="I78" s="61">
        <f>3*25.7</f>
        <v>77.099999999999994</v>
      </c>
      <c r="J78" s="61">
        <v>0</v>
      </c>
      <c r="K78" s="61">
        <v>0</v>
      </c>
      <c r="L78" s="61">
        <v>0</v>
      </c>
      <c r="M78" s="89">
        <v>0</v>
      </c>
    </row>
    <row r="79" spans="2:15" ht="33" x14ac:dyDescent="0.25">
      <c r="B79" s="33" t="s">
        <v>333</v>
      </c>
      <c r="C79" s="645"/>
      <c r="D79" s="49"/>
      <c r="E79" s="49"/>
      <c r="F79" s="86"/>
      <c r="G79" s="96" t="s">
        <v>447</v>
      </c>
      <c r="H79" s="52">
        <f t="shared" si="5"/>
        <v>513.70767999999998</v>
      </c>
      <c r="I79" s="61">
        <f>4*25.7</f>
        <v>102.8</v>
      </c>
      <c r="J79" s="61">
        <f>25.68173*16</f>
        <v>410.90768000000003</v>
      </c>
      <c r="K79" s="61">
        <v>0</v>
      </c>
      <c r="L79" s="61">
        <v>0</v>
      </c>
      <c r="M79" s="89">
        <v>0</v>
      </c>
    </row>
    <row r="80" spans="2:15" ht="33" x14ac:dyDescent="0.25">
      <c r="B80" s="33" t="s">
        <v>495</v>
      </c>
      <c r="C80" s="645"/>
      <c r="D80" s="49"/>
      <c r="E80" s="49"/>
      <c r="F80" s="86"/>
      <c r="G80" s="96" t="s">
        <v>206</v>
      </c>
      <c r="H80" s="52">
        <f t="shared" si="5"/>
        <v>25.681730000000002</v>
      </c>
      <c r="I80" s="61">
        <v>0</v>
      </c>
      <c r="J80" s="61">
        <f>25.68173*1</f>
        <v>25.681730000000002</v>
      </c>
      <c r="K80" s="61">
        <v>0</v>
      </c>
      <c r="L80" s="61">
        <v>0</v>
      </c>
      <c r="M80" s="89">
        <v>0</v>
      </c>
    </row>
    <row r="81" spans="2:15" ht="33" x14ac:dyDescent="0.25">
      <c r="B81" s="33" t="s">
        <v>496</v>
      </c>
      <c r="C81" s="645"/>
      <c r="D81" s="49"/>
      <c r="E81" s="49"/>
      <c r="F81" s="86"/>
      <c r="G81" s="96" t="s">
        <v>206</v>
      </c>
      <c r="H81" s="52">
        <f t="shared" si="5"/>
        <v>25.681730000000002</v>
      </c>
      <c r="I81" s="61">
        <v>0</v>
      </c>
      <c r="J81" s="61">
        <f>25.68173*1</f>
        <v>25.681730000000002</v>
      </c>
      <c r="K81" s="61">
        <v>0</v>
      </c>
      <c r="L81" s="61">
        <v>0</v>
      </c>
      <c r="M81" s="89">
        <v>0</v>
      </c>
    </row>
    <row r="82" spans="2:15" ht="33" x14ac:dyDescent="0.25">
      <c r="B82" s="33" t="s">
        <v>334</v>
      </c>
      <c r="C82" s="645"/>
      <c r="D82" s="49"/>
      <c r="E82" s="49"/>
      <c r="F82" s="86"/>
      <c r="G82" s="96" t="s">
        <v>486</v>
      </c>
      <c r="H82" s="52">
        <f t="shared" si="5"/>
        <v>847.78941000000009</v>
      </c>
      <c r="I82" s="61">
        <f>16*25.7</f>
        <v>411.2</v>
      </c>
      <c r="J82" s="61">
        <f>17*25.68173</f>
        <v>436.58941000000004</v>
      </c>
      <c r="K82" s="61">
        <v>0</v>
      </c>
      <c r="L82" s="61">
        <v>0</v>
      </c>
      <c r="M82" s="89">
        <v>0</v>
      </c>
    </row>
    <row r="83" spans="2:15" ht="33" x14ac:dyDescent="0.25">
      <c r="B83" s="33" t="s">
        <v>335</v>
      </c>
      <c r="C83" s="645"/>
      <c r="D83" s="49"/>
      <c r="E83" s="49"/>
      <c r="F83" s="86"/>
      <c r="G83" s="96" t="s">
        <v>336</v>
      </c>
      <c r="H83" s="52">
        <f t="shared" si="5"/>
        <v>77.099999999999994</v>
      </c>
      <c r="I83" s="61">
        <f>3*25.7</f>
        <v>77.099999999999994</v>
      </c>
      <c r="J83" s="61">
        <v>0</v>
      </c>
      <c r="K83" s="61">
        <v>0</v>
      </c>
      <c r="L83" s="61">
        <v>0</v>
      </c>
      <c r="M83" s="89">
        <v>0</v>
      </c>
    </row>
    <row r="84" spans="2:15" ht="33" x14ac:dyDescent="0.25">
      <c r="B84" s="33" t="s">
        <v>337</v>
      </c>
      <c r="C84" s="645"/>
      <c r="D84" s="49"/>
      <c r="E84" s="49"/>
      <c r="F84" s="86"/>
      <c r="G84" s="96" t="s">
        <v>310</v>
      </c>
      <c r="H84" s="52">
        <f t="shared" si="5"/>
        <v>102.8</v>
      </c>
      <c r="I84" s="61">
        <f>4*25.7</f>
        <v>102.8</v>
      </c>
      <c r="J84" s="61">
        <v>0</v>
      </c>
      <c r="K84" s="61">
        <v>0</v>
      </c>
      <c r="L84" s="61">
        <v>0</v>
      </c>
      <c r="M84" s="89">
        <v>0</v>
      </c>
    </row>
    <row r="85" spans="2:15" ht="33" x14ac:dyDescent="0.25">
      <c r="B85" s="33" t="s">
        <v>338</v>
      </c>
      <c r="C85" s="645"/>
      <c r="D85" s="49"/>
      <c r="E85" s="49"/>
      <c r="F85" s="86"/>
      <c r="G85" s="96" t="s">
        <v>310</v>
      </c>
      <c r="H85" s="52">
        <f t="shared" si="5"/>
        <v>102.78173</v>
      </c>
      <c r="I85" s="61">
        <f>3*25.7</f>
        <v>77.099999999999994</v>
      </c>
      <c r="J85" s="61">
        <f>25.68173*1</f>
        <v>25.681730000000002</v>
      </c>
      <c r="K85" s="61">
        <v>0</v>
      </c>
      <c r="L85" s="61">
        <v>0</v>
      </c>
      <c r="M85" s="89">
        <v>0</v>
      </c>
    </row>
    <row r="86" spans="2:15" ht="33" x14ac:dyDescent="0.25">
      <c r="B86" s="33" t="s">
        <v>345</v>
      </c>
      <c r="C86" s="645"/>
      <c r="D86" s="49"/>
      <c r="E86" s="49"/>
      <c r="F86" s="86"/>
      <c r="G86" s="96" t="s">
        <v>336</v>
      </c>
      <c r="H86" s="52">
        <f t="shared" si="5"/>
        <v>77.099999999999994</v>
      </c>
      <c r="I86" s="61">
        <f>3*25.7</f>
        <v>77.099999999999994</v>
      </c>
      <c r="J86" s="61">
        <v>0</v>
      </c>
      <c r="K86" s="61">
        <v>0</v>
      </c>
      <c r="L86" s="61">
        <v>0</v>
      </c>
      <c r="M86" s="89">
        <v>0</v>
      </c>
    </row>
    <row r="87" spans="2:15" ht="33" x14ac:dyDescent="0.25">
      <c r="B87" s="33" t="s">
        <v>339</v>
      </c>
      <c r="C87" s="645"/>
      <c r="D87" s="49"/>
      <c r="E87" s="49"/>
      <c r="F87" s="86"/>
      <c r="G87" s="96" t="s">
        <v>498</v>
      </c>
      <c r="H87" s="52">
        <f t="shared" si="5"/>
        <v>256.92692</v>
      </c>
      <c r="I87" s="61">
        <f>6*25.7</f>
        <v>154.19999999999999</v>
      </c>
      <c r="J87" s="61">
        <f>25.68173*4</f>
        <v>102.72692000000001</v>
      </c>
      <c r="K87" s="61">
        <v>0</v>
      </c>
      <c r="L87" s="61">
        <v>0</v>
      </c>
      <c r="M87" s="89">
        <v>0</v>
      </c>
      <c r="O87" s="56"/>
    </row>
    <row r="88" spans="2:15" ht="33" x14ac:dyDescent="0.25">
      <c r="B88" s="33" t="s">
        <v>341</v>
      </c>
      <c r="C88" s="645"/>
      <c r="D88" s="49"/>
      <c r="E88" s="49"/>
      <c r="F88" s="86"/>
      <c r="G88" s="96" t="s">
        <v>310</v>
      </c>
      <c r="H88" s="52">
        <f t="shared" si="5"/>
        <v>102.78173</v>
      </c>
      <c r="I88" s="61">
        <f>3*25.7</f>
        <v>77.099999999999994</v>
      </c>
      <c r="J88" s="61">
        <f>25.68173*1</f>
        <v>25.681730000000002</v>
      </c>
      <c r="K88" s="61">
        <v>0</v>
      </c>
      <c r="L88" s="61">
        <v>0</v>
      </c>
      <c r="M88" s="89">
        <v>0</v>
      </c>
      <c r="O88" s="56"/>
    </row>
    <row r="89" spans="2:15" ht="33" x14ac:dyDescent="0.25">
      <c r="B89" s="33" t="s">
        <v>342</v>
      </c>
      <c r="C89" s="645"/>
      <c r="D89" s="49"/>
      <c r="E89" s="49"/>
      <c r="F89" s="86"/>
      <c r="G89" s="96" t="s">
        <v>206</v>
      </c>
      <c r="H89" s="52">
        <f t="shared" si="5"/>
        <v>25.7</v>
      </c>
      <c r="I89" s="61">
        <f>1*25.7</f>
        <v>25.7</v>
      </c>
      <c r="J89" s="61">
        <v>0</v>
      </c>
      <c r="K89" s="61">
        <v>0</v>
      </c>
      <c r="L89" s="61">
        <v>0</v>
      </c>
      <c r="M89" s="89">
        <v>0</v>
      </c>
      <c r="O89" s="56"/>
    </row>
    <row r="90" spans="2:15" ht="33" x14ac:dyDescent="0.25">
      <c r="B90" s="33" t="s">
        <v>340</v>
      </c>
      <c r="C90" s="645"/>
      <c r="D90" s="49"/>
      <c r="E90" s="49"/>
      <c r="F90" s="86"/>
      <c r="G90" s="96" t="s">
        <v>332</v>
      </c>
      <c r="H90" s="52">
        <f t="shared" si="5"/>
        <v>51.381730000000005</v>
      </c>
      <c r="I90" s="61">
        <f>1*25.7</f>
        <v>25.7</v>
      </c>
      <c r="J90" s="61">
        <f>25.68173*1</f>
        <v>25.681730000000002</v>
      </c>
      <c r="K90" s="61">
        <v>0</v>
      </c>
      <c r="L90" s="61">
        <v>0</v>
      </c>
      <c r="M90" s="89">
        <v>0</v>
      </c>
    </row>
    <row r="91" spans="2:15" ht="33" x14ac:dyDescent="0.25">
      <c r="B91" s="33" t="s">
        <v>343</v>
      </c>
      <c r="C91" s="645"/>
      <c r="D91" s="49"/>
      <c r="E91" s="49"/>
      <c r="F91" s="86"/>
      <c r="G91" s="96" t="s">
        <v>332</v>
      </c>
      <c r="H91" s="52">
        <f t="shared" si="5"/>
        <v>51.4</v>
      </c>
      <c r="I91" s="61">
        <f>2*25.7</f>
        <v>51.4</v>
      </c>
      <c r="J91" s="61">
        <v>0</v>
      </c>
      <c r="K91" s="61">
        <v>0</v>
      </c>
      <c r="L91" s="61">
        <v>0</v>
      </c>
      <c r="M91" s="89">
        <v>0</v>
      </c>
    </row>
    <row r="92" spans="2:15" ht="33" x14ac:dyDescent="0.25">
      <c r="B92" s="33" t="s">
        <v>371</v>
      </c>
      <c r="C92" s="645"/>
      <c r="D92" s="49"/>
      <c r="E92" s="49"/>
      <c r="F92" s="86"/>
      <c r="G92" s="96" t="s">
        <v>310</v>
      </c>
      <c r="H92" s="52">
        <f t="shared" si="5"/>
        <v>102.76346000000001</v>
      </c>
      <c r="I92" s="61">
        <f>2*25.7</f>
        <v>51.4</v>
      </c>
      <c r="J92" s="61">
        <f>25.68173*2</f>
        <v>51.363460000000003</v>
      </c>
      <c r="K92" s="61">
        <v>0</v>
      </c>
      <c r="L92" s="61">
        <v>0</v>
      </c>
      <c r="M92" s="89">
        <v>0</v>
      </c>
    </row>
    <row r="93" spans="2:15" ht="33" x14ac:dyDescent="0.25">
      <c r="B93" s="33" t="s">
        <v>344</v>
      </c>
      <c r="C93" s="645"/>
      <c r="D93" s="49"/>
      <c r="E93" s="49"/>
      <c r="F93" s="86"/>
      <c r="G93" s="96" t="s">
        <v>206</v>
      </c>
      <c r="H93" s="52">
        <f t="shared" ref="H93:H98" si="6">SUM(I93:M93)</f>
        <v>25.7</v>
      </c>
      <c r="I93" s="61">
        <f>1*25.7</f>
        <v>25.7</v>
      </c>
      <c r="J93" s="61">
        <v>0</v>
      </c>
      <c r="K93" s="61">
        <v>0</v>
      </c>
      <c r="L93" s="61">
        <v>0</v>
      </c>
      <c r="M93" s="89">
        <v>0</v>
      </c>
    </row>
    <row r="94" spans="2:15" ht="33" x14ac:dyDescent="0.25">
      <c r="B94" s="33" t="s">
        <v>448</v>
      </c>
      <c r="C94" s="645"/>
      <c r="D94" s="49"/>
      <c r="E94" s="49"/>
      <c r="F94" s="86"/>
      <c r="G94" s="96" t="s">
        <v>503</v>
      </c>
      <c r="H94" s="52">
        <f t="shared" si="6"/>
        <v>179.77211</v>
      </c>
      <c r="I94" s="61">
        <v>0</v>
      </c>
      <c r="J94" s="61">
        <f>25.68173*7</f>
        <v>179.77211</v>
      </c>
      <c r="K94" s="61">
        <v>0</v>
      </c>
      <c r="L94" s="61">
        <v>0</v>
      </c>
      <c r="M94" s="89">
        <v>0</v>
      </c>
    </row>
    <row r="95" spans="2:15" ht="33" x14ac:dyDescent="0.25">
      <c r="B95" s="33" t="s">
        <v>449</v>
      </c>
      <c r="C95" s="645"/>
      <c r="D95" s="49"/>
      <c r="E95" s="49"/>
      <c r="F95" s="86"/>
      <c r="G95" s="96" t="s">
        <v>336</v>
      </c>
      <c r="H95" s="52">
        <f t="shared" si="6"/>
        <v>77.045190000000005</v>
      </c>
      <c r="I95" s="61">
        <v>0</v>
      </c>
      <c r="J95" s="61">
        <f>25.68173*3</f>
        <v>77.045190000000005</v>
      </c>
      <c r="K95" s="61">
        <v>0</v>
      </c>
      <c r="L95" s="61">
        <v>0</v>
      </c>
      <c r="M95" s="89">
        <v>0</v>
      </c>
    </row>
    <row r="96" spans="2:15" ht="33" x14ac:dyDescent="0.25">
      <c r="B96" s="33" t="s">
        <v>450</v>
      </c>
      <c r="C96" s="645"/>
      <c r="D96" s="49"/>
      <c r="E96" s="49"/>
      <c r="F96" s="86"/>
      <c r="G96" s="96" t="s">
        <v>206</v>
      </c>
      <c r="H96" s="52">
        <f t="shared" si="6"/>
        <v>25.681730000000002</v>
      </c>
      <c r="I96" s="61">
        <v>0</v>
      </c>
      <c r="J96" s="61">
        <f>25.68173*1</f>
        <v>25.681730000000002</v>
      </c>
      <c r="K96" s="61">
        <v>0</v>
      </c>
      <c r="L96" s="61">
        <v>0</v>
      </c>
      <c r="M96" s="89">
        <v>0</v>
      </c>
    </row>
    <row r="97" spans="2:14" ht="33" x14ac:dyDescent="0.25">
      <c r="B97" s="33" t="s">
        <v>453</v>
      </c>
      <c r="C97" s="645"/>
      <c r="D97" s="49"/>
      <c r="E97" s="49"/>
      <c r="F97" s="86"/>
      <c r="G97" s="96" t="s">
        <v>206</v>
      </c>
      <c r="H97" s="52">
        <f t="shared" si="6"/>
        <v>25.681730000000002</v>
      </c>
      <c r="I97" s="61">
        <v>0</v>
      </c>
      <c r="J97" s="61">
        <f>25.68173*1</f>
        <v>25.681730000000002</v>
      </c>
      <c r="K97" s="61">
        <v>0</v>
      </c>
      <c r="L97" s="61">
        <v>0</v>
      </c>
      <c r="M97" s="89">
        <v>0</v>
      </c>
    </row>
    <row r="98" spans="2:14" ht="33" x14ac:dyDescent="0.25">
      <c r="B98" s="33" t="s">
        <v>451</v>
      </c>
      <c r="C98" s="645"/>
      <c r="D98" s="49"/>
      <c r="E98" s="49"/>
      <c r="F98" s="86"/>
      <c r="G98" s="96" t="s">
        <v>206</v>
      </c>
      <c r="H98" s="52">
        <f t="shared" si="6"/>
        <v>25.681730000000002</v>
      </c>
      <c r="I98" s="61">
        <v>0</v>
      </c>
      <c r="J98" s="61">
        <f>25.68173*1</f>
        <v>25.681730000000002</v>
      </c>
      <c r="K98" s="61">
        <v>0</v>
      </c>
      <c r="L98" s="61">
        <v>0</v>
      </c>
      <c r="M98" s="89">
        <v>0</v>
      </c>
    </row>
    <row r="99" spans="2:14" ht="33" x14ac:dyDescent="0.25">
      <c r="B99" s="33" t="s">
        <v>452</v>
      </c>
      <c r="C99" s="645"/>
      <c r="D99" s="49"/>
      <c r="E99" s="49"/>
      <c r="F99" s="86"/>
      <c r="G99" s="96" t="s">
        <v>206</v>
      </c>
      <c r="H99" s="52">
        <f t="shared" ref="H99:H107" si="7">SUM(I99:M99)</f>
        <v>25.681730000000002</v>
      </c>
      <c r="I99" s="61">
        <v>0</v>
      </c>
      <c r="J99" s="61">
        <f>25.68173*1</f>
        <v>25.681730000000002</v>
      </c>
      <c r="K99" s="61">
        <v>0</v>
      </c>
      <c r="L99" s="61">
        <v>0</v>
      </c>
      <c r="M99" s="89">
        <v>0</v>
      </c>
    </row>
    <row r="100" spans="2:14" ht="33" x14ac:dyDescent="0.25">
      <c r="B100" s="33" t="s">
        <v>468</v>
      </c>
      <c r="C100" s="645"/>
      <c r="D100" s="49"/>
      <c r="E100" s="49"/>
      <c r="F100" s="86"/>
      <c r="G100" s="96" t="s">
        <v>206</v>
      </c>
      <c r="H100" s="52">
        <f t="shared" si="7"/>
        <v>25.681730000000002</v>
      </c>
      <c r="I100" s="61">
        <v>0</v>
      </c>
      <c r="J100" s="61">
        <f>25.68173*1</f>
        <v>25.681730000000002</v>
      </c>
      <c r="K100" s="61">
        <v>0</v>
      </c>
      <c r="L100" s="61">
        <v>0</v>
      </c>
      <c r="M100" s="89">
        <v>0</v>
      </c>
    </row>
    <row r="101" spans="2:14" ht="33" x14ac:dyDescent="0.25">
      <c r="B101" s="33" t="s">
        <v>478</v>
      </c>
      <c r="C101" s="645"/>
      <c r="D101" s="49"/>
      <c r="E101" s="49"/>
      <c r="F101" s="86"/>
      <c r="G101" s="96" t="s">
        <v>336</v>
      </c>
      <c r="H101" s="52">
        <f t="shared" si="7"/>
        <v>77.045190000000005</v>
      </c>
      <c r="I101" s="61">
        <v>0</v>
      </c>
      <c r="J101" s="61">
        <f>25.68173*3</f>
        <v>77.045190000000005</v>
      </c>
      <c r="K101" s="61">
        <v>0</v>
      </c>
      <c r="L101" s="61">
        <v>0</v>
      </c>
      <c r="M101" s="89">
        <v>0</v>
      </c>
    </row>
    <row r="102" spans="2:14" ht="33" x14ac:dyDescent="0.25">
      <c r="B102" s="33" t="s">
        <v>479</v>
      </c>
      <c r="C102" s="645"/>
      <c r="D102" s="49"/>
      <c r="E102" s="49"/>
      <c r="F102" s="86"/>
      <c r="G102" s="96" t="s">
        <v>206</v>
      </c>
      <c r="H102" s="52">
        <f t="shared" si="7"/>
        <v>25.681730000000002</v>
      </c>
      <c r="I102" s="61">
        <v>0</v>
      </c>
      <c r="J102" s="61">
        <f>25.68173*1</f>
        <v>25.681730000000002</v>
      </c>
      <c r="K102" s="61">
        <v>0</v>
      </c>
      <c r="L102" s="61">
        <v>0</v>
      </c>
      <c r="M102" s="89">
        <v>0</v>
      </c>
    </row>
    <row r="103" spans="2:14" ht="33" x14ac:dyDescent="0.25">
      <c r="B103" s="33" t="s">
        <v>482</v>
      </c>
      <c r="C103" s="645"/>
      <c r="D103" s="49"/>
      <c r="E103" s="49"/>
      <c r="F103" s="86"/>
      <c r="G103" s="96" t="s">
        <v>206</v>
      </c>
      <c r="H103" s="52">
        <f>SUM(I103:M103)</f>
        <v>25.681730000000002</v>
      </c>
      <c r="I103" s="61">
        <v>0</v>
      </c>
      <c r="J103" s="61">
        <f>25.68173*1</f>
        <v>25.681730000000002</v>
      </c>
      <c r="K103" s="61">
        <v>0</v>
      </c>
      <c r="L103" s="61">
        <v>0</v>
      </c>
      <c r="M103" s="89">
        <v>0</v>
      </c>
    </row>
    <row r="104" spans="2:14" ht="33" x14ac:dyDescent="0.25">
      <c r="B104" s="33" t="s">
        <v>484</v>
      </c>
      <c r="C104" s="645"/>
      <c r="D104" s="49"/>
      <c r="E104" s="49"/>
      <c r="F104" s="86"/>
      <c r="G104" s="96" t="s">
        <v>332</v>
      </c>
      <c r="H104" s="52">
        <f t="shared" si="7"/>
        <v>51.363460000000003</v>
      </c>
      <c r="I104" s="61">
        <v>0</v>
      </c>
      <c r="J104" s="61">
        <f>25.68173*2</f>
        <v>51.363460000000003</v>
      </c>
      <c r="K104" s="61">
        <v>0</v>
      </c>
      <c r="L104" s="61">
        <v>0</v>
      </c>
      <c r="M104" s="89">
        <v>0</v>
      </c>
    </row>
    <row r="105" spans="2:14" ht="33" x14ac:dyDescent="0.25">
      <c r="B105" s="33" t="s">
        <v>471</v>
      </c>
      <c r="C105" s="645"/>
      <c r="D105" s="49"/>
      <c r="E105" s="49"/>
      <c r="F105" s="86"/>
      <c r="G105" s="96" t="s">
        <v>332</v>
      </c>
      <c r="H105" s="52">
        <f t="shared" si="7"/>
        <v>51.363460000000003</v>
      </c>
      <c r="I105" s="61">
        <v>0</v>
      </c>
      <c r="J105" s="61">
        <f>25.68173*2</f>
        <v>51.363460000000003</v>
      </c>
      <c r="K105" s="61">
        <v>0</v>
      </c>
      <c r="L105" s="61">
        <v>0</v>
      </c>
      <c r="M105" s="89">
        <v>0</v>
      </c>
    </row>
    <row r="106" spans="2:14" ht="33" x14ac:dyDescent="0.25">
      <c r="B106" s="33" t="s">
        <v>504</v>
      </c>
      <c r="C106" s="645"/>
      <c r="D106" s="49"/>
      <c r="E106" s="49"/>
      <c r="F106" s="86"/>
      <c r="G106" s="96" t="s">
        <v>206</v>
      </c>
      <c r="H106" s="52">
        <f t="shared" si="7"/>
        <v>25.681730000000002</v>
      </c>
      <c r="I106" s="61">
        <v>0</v>
      </c>
      <c r="J106" s="61">
        <f>25.68173*1</f>
        <v>25.681730000000002</v>
      </c>
      <c r="K106" s="61">
        <v>0</v>
      </c>
      <c r="L106" s="61">
        <v>0</v>
      </c>
      <c r="M106" s="89">
        <v>0</v>
      </c>
    </row>
    <row r="107" spans="2:14" ht="33" x14ac:dyDescent="0.25">
      <c r="B107" s="33" t="s">
        <v>499</v>
      </c>
      <c r="C107" s="645"/>
      <c r="D107" s="49"/>
      <c r="E107" s="49"/>
      <c r="F107" s="86"/>
      <c r="G107" s="96" t="s">
        <v>206</v>
      </c>
      <c r="H107" s="52">
        <f t="shared" si="7"/>
        <v>25.681730000000002</v>
      </c>
      <c r="I107" s="61">
        <v>0</v>
      </c>
      <c r="J107" s="61">
        <f>25.68173*1</f>
        <v>25.681730000000002</v>
      </c>
      <c r="K107" s="61">
        <v>0</v>
      </c>
      <c r="L107" s="61">
        <v>0</v>
      </c>
      <c r="M107" s="89">
        <v>0</v>
      </c>
    </row>
    <row r="108" spans="2:14" ht="33" x14ac:dyDescent="0.25">
      <c r="B108" s="33" t="s">
        <v>500</v>
      </c>
      <c r="C108" s="645"/>
      <c r="D108" s="49"/>
      <c r="E108" s="49"/>
      <c r="F108" s="86"/>
      <c r="G108" s="96" t="s">
        <v>206</v>
      </c>
      <c r="H108" s="52">
        <f t="shared" ref="H108:H118" si="8">SUM(I108:M108)</f>
        <v>25.681730000000002</v>
      </c>
      <c r="I108" s="61">
        <v>0</v>
      </c>
      <c r="J108" s="61">
        <f>25.68173*1</f>
        <v>25.681730000000002</v>
      </c>
      <c r="K108" s="61">
        <v>0</v>
      </c>
      <c r="L108" s="61">
        <v>0</v>
      </c>
      <c r="M108" s="89">
        <v>0</v>
      </c>
    </row>
    <row r="109" spans="2:14" ht="33" x14ac:dyDescent="0.25">
      <c r="B109" s="33" t="s">
        <v>501</v>
      </c>
      <c r="C109" s="645"/>
      <c r="D109" s="49"/>
      <c r="E109" s="49"/>
      <c r="F109" s="86"/>
      <c r="G109" s="96" t="s">
        <v>206</v>
      </c>
      <c r="H109" s="52">
        <f t="shared" si="8"/>
        <v>25.681730000000002</v>
      </c>
      <c r="I109" s="61">
        <v>0</v>
      </c>
      <c r="J109" s="61">
        <f>25.68173*1</f>
        <v>25.681730000000002</v>
      </c>
      <c r="K109" s="61">
        <v>0</v>
      </c>
      <c r="L109" s="61">
        <v>0</v>
      </c>
      <c r="M109" s="89">
        <v>0</v>
      </c>
    </row>
    <row r="110" spans="2:14" ht="33" x14ac:dyDescent="0.25">
      <c r="B110" s="33" t="s">
        <v>502</v>
      </c>
      <c r="C110" s="645"/>
      <c r="D110" s="49"/>
      <c r="E110" s="49"/>
      <c r="F110" s="86"/>
      <c r="G110" s="96" t="s">
        <v>206</v>
      </c>
      <c r="H110" s="52">
        <f t="shared" si="8"/>
        <v>25.681730000000002</v>
      </c>
      <c r="I110" s="61">
        <v>0</v>
      </c>
      <c r="J110" s="61">
        <f>25.68173*1</f>
        <v>25.681730000000002</v>
      </c>
      <c r="K110" s="61">
        <v>0</v>
      </c>
      <c r="L110" s="61">
        <v>0</v>
      </c>
      <c r="M110" s="89">
        <v>0</v>
      </c>
    </row>
    <row r="111" spans="2:14" ht="33" x14ac:dyDescent="0.25">
      <c r="B111" s="33" t="s">
        <v>394</v>
      </c>
      <c r="C111" s="645"/>
      <c r="D111" s="49"/>
      <c r="E111" s="49"/>
      <c r="F111" s="86" t="s">
        <v>223</v>
      </c>
      <c r="G111" s="96" t="s">
        <v>223</v>
      </c>
      <c r="H111" s="52">
        <f t="shared" si="8"/>
        <v>599.72400000000005</v>
      </c>
      <c r="I111" s="97">
        <v>599.72400000000005</v>
      </c>
      <c r="J111" s="61">
        <v>0</v>
      </c>
      <c r="K111" s="61">
        <v>0</v>
      </c>
      <c r="L111" s="61">
        <v>0</v>
      </c>
      <c r="M111" s="89">
        <v>0</v>
      </c>
      <c r="N111" s="47"/>
    </row>
    <row r="112" spans="2:14" x14ac:dyDescent="0.25">
      <c r="B112" s="33" t="s">
        <v>395</v>
      </c>
      <c r="C112" s="645"/>
      <c r="D112" s="49"/>
      <c r="E112" s="49"/>
      <c r="F112" s="86" t="s">
        <v>223</v>
      </c>
      <c r="G112" s="96" t="s">
        <v>223</v>
      </c>
      <c r="H112" s="52">
        <f t="shared" si="8"/>
        <v>599.66639999999995</v>
      </c>
      <c r="I112" s="97">
        <v>599.66639999999995</v>
      </c>
      <c r="J112" s="61">
        <v>0</v>
      </c>
      <c r="K112" s="61">
        <v>0</v>
      </c>
      <c r="L112" s="61">
        <v>0</v>
      </c>
      <c r="M112" s="89">
        <v>0</v>
      </c>
      <c r="N112" s="47"/>
    </row>
    <row r="113" spans="2:14" ht="49.5" x14ac:dyDescent="0.25">
      <c r="B113" s="33" t="s">
        <v>397</v>
      </c>
      <c r="C113" s="645"/>
      <c r="D113" s="49"/>
      <c r="E113" s="49"/>
      <c r="F113" s="86" t="s">
        <v>223</v>
      </c>
      <c r="G113" s="96" t="s">
        <v>223</v>
      </c>
      <c r="H113" s="52">
        <f t="shared" si="8"/>
        <v>212.51168000000001</v>
      </c>
      <c r="I113" s="97">
        <v>212.51168000000001</v>
      </c>
      <c r="J113" s="61">
        <v>0</v>
      </c>
      <c r="K113" s="61">
        <v>0</v>
      </c>
      <c r="L113" s="61">
        <v>0</v>
      </c>
      <c r="M113" s="89">
        <v>0</v>
      </c>
      <c r="N113" s="47"/>
    </row>
    <row r="114" spans="2:14" ht="66" x14ac:dyDescent="0.25">
      <c r="B114" s="33" t="s">
        <v>396</v>
      </c>
      <c r="C114" s="645"/>
      <c r="D114" s="49"/>
      <c r="E114" s="49"/>
      <c r="F114" s="86" t="s">
        <v>223</v>
      </c>
      <c r="G114" s="96" t="s">
        <v>223</v>
      </c>
      <c r="H114" s="52">
        <f t="shared" si="8"/>
        <v>98</v>
      </c>
      <c r="I114" s="97">
        <v>98</v>
      </c>
      <c r="J114" s="61">
        <v>0</v>
      </c>
      <c r="K114" s="61">
        <v>0</v>
      </c>
      <c r="L114" s="61">
        <v>0</v>
      </c>
      <c r="M114" s="89">
        <v>0</v>
      </c>
      <c r="N114" s="47"/>
    </row>
    <row r="115" spans="2:14" ht="49.5" x14ac:dyDescent="0.25">
      <c r="B115" s="33" t="s">
        <v>758</v>
      </c>
      <c r="C115" s="645"/>
      <c r="D115" s="49"/>
      <c r="E115" s="49"/>
      <c r="F115" s="86" t="s">
        <v>223</v>
      </c>
      <c r="G115" s="96" t="s">
        <v>223</v>
      </c>
      <c r="H115" s="52">
        <f t="shared" si="8"/>
        <v>65</v>
      </c>
      <c r="I115" s="97">
        <v>65</v>
      </c>
      <c r="J115" s="61">
        <v>0</v>
      </c>
      <c r="K115" s="61">
        <v>0</v>
      </c>
      <c r="L115" s="61">
        <v>0</v>
      </c>
      <c r="M115" s="89">
        <v>0</v>
      </c>
      <c r="N115" s="47"/>
    </row>
    <row r="116" spans="2:14" ht="33" x14ac:dyDescent="0.25">
      <c r="B116" s="33" t="s">
        <v>425</v>
      </c>
      <c r="C116" s="645"/>
      <c r="D116" s="49"/>
      <c r="E116" s="49"/>
      <c r="F116" s="86" t="s">
        <v>223</v>
      </c>
      <c r="G116" s="96" t="s">
        <v>223</v>
      </c>
      <c r="H116" s="52">
        <f t="shared" si="8"/>
        <v>1917.0905399999999</v>
      </c>
      <c r="I116" s="98">
        <v>1917.0905399999999</v>
      </c>
      <c r="J116" s="61">
        <v>0</v>
      </c>
      <c r="K116" s="61">
        <v>0</v>
      </c>
      <c r="L116" s="61">
        <v>0</v>
      </c>
      <c r="M116" s="89">
        <v>0</v>
      </c>
      <c r="N116" s="47"/>
    </row>
    <row r="117" spans="2:14" ht="33" x14ac:dyDescent="0.25">
      <c r="B117" s="33" t="s">
        <v>398</v>
      </c>
      <c r="C117" s="645"/>
      <c r="D117" s="49"/>
      <c r="E117" s="49"/>
      <c r="F117" s="86" t="s">
        <v>223</v>
      </c>
      <c r="G117" s="96" t="s">
        <v>223</v>
      </c>
      <c r="H117" s="52">
        <f t="shared" si="8"/>
        <v>99.858000000000004</v>
      </c>
      <c r="I117" s="98">
        <v>99.858000000000004</v>
      </c>
      <c r="J117" s="61">
        <v>0</v>
      </c>
      <c r="K117" s="61">
        <v>0</v>
      </c>
      <c r="L117" s="61">
        <v>0</v>
      </c>
      <c r="M117" s="89">
        <v>0</v>
      </c>
      <c r="N117" s="47"/>
    </row>
    <row r="118" spans="2:14" ht="33" x14ac:dyDescent="0.25">
      <c r="B118" s="33" t="s">
        <v>399</v>
      </c>
      <c r="C118" s="645"/>
      <c r="D118" s="49"/>
      <c r="E118" s="49"/>
      <c r="F118" s="86" t="s">
        <v>223</v>
      </c>
      <c r="G118" s="96" t="s">
        <v>223</v>
      </c>
      <c r="H118" s="52">
        <f t="shared" si="8"/>
        <v>450</v>
      </c>
      <c r="I118" s="98">
        <v>450</v>
      </c>
      <c r="J118" s="61">
        <v>0</v>
      </c>
      <c r="K118" s="61">
        <v>0</v>
      </c>
      <c r="L118" s="61">
        <v>0</v>
      </c>
      <c r="M118" s="89">
        <v>0</v>
      </c>
      <c r="N118" s="47"/>
    </row>
    <row r="119" spans="2:14" s="99" customFormat="1" ht="33" x14ac:dyDescent="0.25">
      <c r="B119" s="33" t="s">
        <v>633</v>
      </c>
      <c r="C119" s="645"/>
      <c r="D119" s="49"/>
      <c r="E119" s="49"/>
      <c r="F119" s="86">
        <f>1720*14</f>
        <v>24080</v>
      </c>
      <c r="G119" s="88">
        <v>1.72</v>
      </c>
      <c r="H119" s="52">
        <f t="shared" si="5"/>
        <v>33160</v>
      </c>
      <c r="I119" s="61">
        <v>0</v>
      </c>
      <c r="J119" s="69">
        <v>33160</v>
      </c>
      <c r="K119" s="69">
        <v>0</v>
      </c>
      <c r="L119" s="61">
        <v>0</v>
      </c>
      <c r="M119" s="70">
        <v>0</v>
      </c>
      <c r="N119" s="100"/>
    </row>
    <row r="120" spans="2:14" s="99" customFormat="1" ht="33" x14ac:dyDescent="0.25">
      <c r="B120" s="33" t="s">
        <v>446</v>
      </c>
      <c r="C120" s="645"/>
      <c r="D120" s="49"/>
      <c r="E120" s="49"/>
      <c r="F120" s="86" t="s">
        <v>223</v>
      </c>
      <c r="G120" s="90" t="s">
        <v>223</v>
      </c>
      <c r="H120" s="52">
        <f t="shared" si="5"/>
        <v>212.51168000000001</v>
      </c>
      <c r="I120" s="61">
        <v>0</v>
      </c>
      <c r="J120" s="69">
        <v>212.51168000000001</v>
      </c>
      <c r="K120" s="69">
        <v>0</v>
      </c>
      <c r="L120" s="61">
        <v>0</v>
      </c>
      <c r="M120" s="70">
        <v>0</v>
      </c>
      <c r="N120" s="100"/>
    </row>
    <row r="121" spans="2:14" s="101" customFormat="1" ht="53.25" customHeight="1" x14ac:dyDescent="0.25">
      <c r="B121" s="33" t="s">
        <v>230</v>
      </c>
      <c r="C121" s="645"/>
      <c r="D121" s="49"/>
      <c r="E121" s="49"/>
      <c r="F121" s="86"/>
      <c r="G121" s="90" t="s">
        <v>206</v>
      </c>
      <c r="H121" s="52">
        <f t="shared" si="5"/>
        <v>2686.5</v>
      </c>
      <c r="I121" s="69">
        <v>2686.5</v>
      </c>
      <c r="J121" s="93">
        <v>0</v>
      </c>
      <c r="K121" s="93">
        <v>0</v>
      </c>
      <c r="L121" s="93">
        <v>0</v>
      </c>
      <c r="M121" s="102">
        <v>0</v>
      </c>
      <c r="N121" s="103"/>
    </row>
    <row r="122" spans="2:14" s="101" customFormat="1" ht="49.5" x14ac:dyDescent="0.25">
      <c r="B122" s="33" t="s">
        <v>235</v>
      </c>
      <c r="C122" s="645"/>
      <c r="D122" s="49"/>
      <c r="E122" s="49"/>
      <c r="F122" s="86"/>
      <c r="G122" s="90" t="s">
        <v>206</v>
      </c>
      <c r="H122" s="52">
        <f t="shared" si="5"/>
        <v>2686.5</v>
      </c>
      <c r="I122" s="69">
        <v>2686.5</v>
      </c>
      <c r="J122" s="93">
        <v>0</v>
      </c>
      <c r="K122" s="93">
        <v>0</v>
      </c>
      <c r="L122" s="93">
        <v>0</v>
      </c>
      <c r="M122" s="102">
        <v>0</v>
      </c>
      <c r="N122" s="104"/>
    </row>
    <row r="123" spans="2:14" s="101" customFormat="1" ht="49.5" x14ac:dyDescent="0.25">
      <c r="B123" s="33" t="s">
        <v>231</v>
      </c>
      <c r="C123" s="645"/>
      <c r="D123" s="49"/>
      <c r="E123" s="49"/>
      <c r="F123" s="86"/>
      <c r="G123" s="90" t="s">
        <v>206</v>
      </c>
      <c r="H123" s="52">
        <f t="shared" si="5"/>
        <v>2686.5</v>
      </c>
      <c r="I123" s="69">
        <v>2686.5</v>
      </c>
      <c r="J123" s="93">
        <v>0</v>
      </c>
      <c r="K123" s="93">
        <v>0</v>
      </c>
      <c r="L123" s="93">
        <v>0</v>
      </c>
      <c r="M123" s="102">
        <v>0</v>
      </c>
      <c r="N123" s="104"/>
    </row>
    <row r="124" spans="2:14" s="101" customFormat="1" ht="49.5" x14ac:dyDescent="0.25">
      <c r="B124" s="33" t="s">
        <v>232</v>
      </c>
      <c r="C124" s="645"/>
      <c r="D124" s="49"/>
      <c r="E124" s="49"/>
      <c r="F124" s="86"/>
      <c r="G124" s="90" t="s">
        <v>206</v>
      </c>
      <c r="H124" s="52">
        <f t="shared" si="5"/>
        <v>2686.5</v>
      </c>
      <c r="I124" s="69">
        <v>2686.5</v>
      </c>
      <c r="J124" s="93">
        <v>0</v>
      </c>
      <c r="K124" s="93">
        <v>0</v>
      </c>
      <c r="L124" s="93">
        <v>0</v>
      </c>
      <c r="M124" s="102">
        <v>0</v>
      </c>
      <c r="N124" s="104"/>
    </row>
    <row r="125" spans="2:14" s="101" customFormat="1" ht="49.5" x14ac:dyDescent="0.25">
      <c r="B125" s="33" t="s">
        <v>233</v>
      </c>
      <c r="C125" s="645"/>
      <c r="D125" s="49"/>
      <c r="E125" s="49"/>
      <c r="F125" s="86"/>
      <c r="G125" s="90" t="s">
        <v>206</v>
      </c>
      <c r="H125" s="52">
        <f t="shared" si="5"/>
        <v>2686.5</v>
      </c>
      <c r="I125" s="69">
        <v>2686.5</v>
      </c>
      <c r="J125" s="93">
        <v>0</v>
      </c>
      <c r="K125" s="93">
        <v>0</v>
      </c>
      <c r="L125" s="93">
        <v>0</v>
      </c>
      <c r="M125" s="102">
        <v>0</v>
      </c>
      <c r="N125" s="104"/>
    </row>
    <row r="126" spans="2:14" s="101" customFormat="1" ht="49.5" x14ac:dyDescent="0.25">
      <c r="B126" s="33" t="s">
        <v>234</v>
      </c>
      <c r="C126" s="645"/>
      <c r="D126" s="49"/>
      <c r="E126" s="49"/>
      <c r="F126" s="86"/>
      <c r="G126" s="90" t="s">
        <v>206</v>
      </c>
      <c r="H126" s="52">
        <f t="shared" si="5"/>
        <v>2686.5</v>
      </c>
      <c r="I126" s="69">
        <v>2686.5</v>
      </c>
      <c r="J126" s="93">
        <v>0</v>
      </c>
      <c r="K126" s="93">
        <v>0</v>
      </c>
      <c r="L126" s="93">
        <v>0</v>
      </c>
      <c r="M126" s="102">
        <v>0</v>
      </c>
      <c r="N126" s="104"/>
    </row>
    <row r="127" spans="2:14" s="101" customFormat="1" x14ac:dyDescent="0.25">
      <c r="B127" s="33" t="s">
        <v>205</v>
      </c>
      <c r="C127" s="645"/>
      <c r="D127" s="49"/>
      <c r="E127" s="49"/>
      <c r="F127" s="86"/>
      <c r="G127" s="90"/>
      <c r="H127" s="52">
        <f t="shared" si="5"/>
        <v>12420.168001999999</v>
      </c>
      <c r="I127" s="69">
        <f>19694.0388-7273.870798</f>
        <v>12420.168001999999</v>
      </c>
      <c r="J127" s="93">
        <v>0</v>
      </c>
      <c r="K127" s="93">
        <v>0</v>
      </c>
      <c r="L127" s="93">
        <v>0</v>
      </c>
      <c r="M127" s="102">
        <v>0</v>
      </c>
      <c r="N127" s="104"/>
    </row>
    <row r="128" spans="2:14" s="101" customFormat="1" x14ac:dyDescent="0.25">
      <c r="B128" s="33" t="s">
        <v>26</v>
      </c>
      <c r="C128" s="645"/>
      <c r="D128" s="49"/>
      <c r="E128" s="49"/>
      <c r="F128" s="50"/>
      <c r="G128" s="105"/>
      <c r="H128" s="52">
        <f t="shared" si="5"/>
        <v>20945.347478</v>
      </c>
      <c r="I128" s="65">
        <f>4987.8884+7110.0844+7273.870798</f>
        <v>19371.843597999999</v>
      </c>
      <c r="J128" s="65">
        <v>1573.50388</v>
      </c>
      <c r="K128" s="65">
        <v>0</v>
      </c>
      <c r="L128" s="65">
        <v>0</v>
      </c>
      <c r="M128" s="70">
        <v>0</v>
      </c>
      <c r="N128" s="106"/>
    </row>
    <row r="129" spans="1:17" ht="33" x14ac:dyDescent="0.25">
      <c r="B129" s="33" t="s">
        <v>27</v>
      </c>
      <c r="C129" s="646"/>
      <c r="D129" s="49"/>
      <c r="E129" s="49"/>
      <c r="F129" s="50"/>
      <c r="G129" s="105"/>
      <c r="H129" s="52">
        <f t="shared" si="5"/>
        <v>20325.957860000002</v>
      </c>
      <c r="I129" s="65">
        <f>1052.43926+9370.03028</f>
        <v>10422.469540000002</v>
      </c>
      <c r="J129" s="65">
        <f>1300-212.51168</f>
        <v>1087.4883199999999</v>
      </c>
      <c r="K129" s="66">
        <f>3010+264+170</f>
        <v>3444</v>
      </c>
      <c r="L129" s="67">
        <v>1425</v>
      </c>
      <c r="M129" s="68">
        <v>3947</v>
      </c>
      <c r="N129" s="104"/>
      <c r="O129" s="101"/>
    </row>
    <row r="130" spans="1:17" x14ac:dyDescent="0.25">
      <c r="B130" s="33" t="s">
        <v>28</v>
      </c>
      <c r="C130" s="49"/>
      <c r="D130" s="49"/>
      <c r="E130" s="49"/>
      <c r="F130" s="50"/>
      <c r="G130" s="51"/>
      <c r="H130" s="52">
        <f t="shared" si="5"/>
        <v>14999.999999999985</v>
      </c>
      <c r="I130" s="65">
        <f>28572.742+40996.9056+9409.2336+52102.18855+1714+5900-33608.78788-105086.28187+15000</f>
        <v>14999.999999999985</v>
      </c>
      <c r="J130" s="65">
        <v>0</v>
      </c>
      <c r="K130" s="65">
        <v>0</v>
      </c>
      <c r="L130" s="65">
        <v>0</v>
      </c>
      <c r="M130" s="70">
        <v>0</v>
      </c>
      <c r="N130" s="104"/>
      <c r="O130" s="101"/>
    </row>
    <row r="131" spans="1:17" ht="17.25" x14ac:dyDescent="0.25">
      <c r="B131" s="72" t="s">
        <v>16</v>
      </c>
      <c r="C131" s="49"/>
      <c r="D131" s="49"/>
      <c r="E131" s="49"/>
      <c r="F131" s="50"/>
      <c r="G131" s="107"/>
      <c r="H131" s="66"/>
      <c r="I131" s="702"/>
      <c r="J131" s="703"/>
      <c r="K131" s="703"/>
      <c r="L131" s="703"/>
      <c r="M131" s="704"/>
      <c r="N131" s="104"/>
      <c r="O131" s="101"/>
    </row>
    <row r="132" spans="1:17" x14ac:dyDescent="0.25">
      <c r="B132" s="33" t="s">
        <v>77</v>
      </c>
      <c r="C132" s="49"/>
      <c r="D132" s="49"/>
      <c r="E132" s="49"/>
      <c r="F132" s="50"/>
      <c r="G132" s="107"/>
      <c r="H132" s="65">
        <f>SUM(I132:M132)</f>
        <v>0</v>
      </c>
      <c r="I132" s="108">
        <v>0</v>
      </c>
      <c r="J132" s="97">
        <v>0</v>
      </c>
      <c r="K132" s="97">
        <v>0</v>
      </c>
      <c r="L132" s="97">
        <v>0</v>
      </c>
      <c r="M132" s="109">
        <v>0</v>
      </c>
      <c r="N132" s="104"/>
      <c r="O132" s="101"/>
    </row>
    <row r="133" spans="1:17" x14ac:dyDescent="0.25">
      <c r="B133" s="33" t="s">
        <v>9</v>
      </c>
      <c r="C133" s="49"/>
      <c r="D133" s="49"/>
      <c r="E133" s="49"/>
      <c r="F133" s="50"/>
      <c r="G133" s="110"/>
      <c r="H133" s="65">
        <f>SUM(I133:M133)</f>
        <v>491963.65060940001</v>
      </c>
      <c r="I133" s="65">
        <v>215554.46233860002</v>
      </c>
      <c r="J133" s="65">
        <f>'перечень объектов'!F149</f>
        <v>45620.21709630001</v>
      </c>
      <c r="K133" s="66">
        <f>'перечень объектов'!F232</f>
        <v>130788.9711746</v>
      </c>
      <c r="L133" s="97">
        <f>'перечень объектов'!F345</f>
        <v>0</v>
      </c>
      <c r="M133" s="109">
        <f>'перечень объектов'!F446</f>
        <v>99999.999999899999</v>
      </c>
      <c r="N133" s="104"/>
    </row>
    <row r="134" spans="1:17" s="111" customFormat="1" x14ac:dyDescent="0.25">
      <c r="A134" s="1"/>
      <c r="B134" s="33" t="s">
        <v>10</v>
      </c>
      <c r="C134" s="49"/>
      <c r="D134" s="49"/>
      <c r="E134" s="49"/>
      <c r="F134" s="50"/>
      <c r="G134" s="65"/>
      <c r="H134" s="65">
        <f>SUM(I134:M134)</f>
        <v>25418.4120027354</v>
      </c>
      <c r="I134" s="65">
        <v>12510.4</v>
      </c>
      <c r="J134" s="65">
        <f>'перечень объектов'!G149</f>
        <v>1760.8102736999981</v>
      </c>
      <c r="K134" s="66">
        <f>'перечень объектов'!G232</f>
        <v>4765.1007189354023</v>
      </c>
      <c r="L134" s="97">
        <f>'перечень объектов'!G345</f>
        <v>1425</v>
      </c>
      <c r="M134" s="109">
        <f>'перечень объектов'!G446</f>
        <v>4957.1010101000002</v>
      </c>
      <c r="N134" s="112"/>
      <c r="O134" s="113"/>
    </row>
    <row r="135" spans="1:17" ht="17.25" x14ac:dyDescent="0.25">
      <c r="B135" s="692"/>
      <c r="C135" s="669"/>
      <c r="D135" s="669"/>
      <c r="E135" s="669"/>
      <c r="F135" s="669"/>
      <c r="G135" s="669"/>
      <c r="H135" s="669"/>
      <c r="I135" s="669"/>
      <c r="J135" s="669"/>
      <c r="K135" s="669"/>
      <c r="L135" s="669"/>
      <c r="M135" s="670"/>
      <c r="N135" s="104"/>
    </row>
    <row r="136" spans="1:17" x14ac:dyDescent="0.25">
      <c r="B136" s="74" t="s">
        <v>131</v>
      </c>
      <c r="C136" s="75"/>
      <c r="D136" s="75"/>
      <c r="E136" s="75"/>
      <c r="F136" s="696" t="s">
        <v>419</v>
      </c>
      <c r="G136" s="697"/>
      <c r="H136" s="76"/>
      <c r="I136" s="76"/>
      <c r="J136" s="76"/>
      <c r="K136" s="77"/>
      <c r="L136" s="78"/>
      <c r="M136" s="79"/>
      <c r="N136" s="104"/>
    </row>
    <row r="137" spans="1:17" ht="60" customHeight="1" x14ac:dyDescent="0.25">
      <c r="B137" s="665" t="s">
        <v>435</v>
      </c>
      <c r="C137" s="644" t="s">
        <v>729</v>
      </c>
      <c r="D137" s="671">
        <v>2022</v>
      </c>
      <c r="E137" s="705">
        <v>2026</v>
      </c>
      <c r="F137" s="698"/>
      <c r="G137" s="697"/>
      <c r="H137" s="693">
        <f t="shared" ref="H137:M137" si="9">SUM(H140:H158)</f>
        <v>1619825.7958103435</v>
      </c>
      <c r="I137" s="693">
        <f t="shared" si="9"/>
        <v>367992.78631999996</v>
      </c>
      <c r="J137" s="693">
        <f t="shared" si="9"/>
        <v>425536.45455000002</v>
      </c>
      <c r="K137" s="693">
        <f t="shared" si="9"/>
        <v>214204.94888034344</v>
      </c>
      <c r="L137" s="693">
        <f t="shared" si="9"/>
        <v>306061.30303000001</v>
      </c>
      <c r="M137" s="708">
        <f t="shared" si="9"/>
        <v>306030.30303000001</v>
      </c>
      <c r="N137" s="10"/>
      <c r="O137" s="101"/>
    </row>
    <row r="138" spans="1:17" ht="18.75" customHeight="1" x14ac:dyDescent="0.25">
      <c r="B138" s="666"/>
      <c r="C138" s="644"/>
      <c r="D138" s="672"/>
      <c r="E138" s="706"/>
      <c r="F138" s="80">
        <f>SUM(F140:F158)</f>
        <v>317034.86</v>
      </c>
      <c r="G138" s="81" t="s">
        <v>428</v>
      </c>
      <c r="H138" s="694"/>
      <c r="I138" s="694"/>
      <c r="J138" s="694"/>
      <c r="K138" s="694"/>
      <c r="L138" s="694"/>
      <c r="M138" s="709"/>
      <c r="N138" s="10"/>
      <c r="O138" s="101"/>
    </row>
    <row r="139" spans="1:17" ht="18.75" customHeight="1" x14ac:dyDescent="0.25">
      <c r="B139" s="667"/>
      <c r="C139" s="644"/>
      <c r="D139" s="673"/>
      <c r="E139" s="707"/>
      <c r="F139" s="114">
        <f>SUM(G140:G158)</f>
        <v>21.93</v>
      </c>
      <c r="G139" s="83" t="s">
        <v>418</v>
      </c>
      <c r="H139" s="695"/>
      <c r="I139" s="695"/>
      <c r="J139" s="695"/>
      <c r="K139" s="695"/>
      <c r="L139" s="695"/>
      <c r="M139" s="710"/>
      <c r="N139" s="10"/>
      <c r="O139" s="101"/>
    </row>
    <row r="140" spans="1:17" x14ac:dyDescent="0.25">
      <c r="B140" s="48" t="s">
        <v>29</v>
      </c>
      <c r="C140" s="645"/>
      <c r="D140" s="49"/>
      <c r="E140" s="49"/>
      <c r="F140" s="115">
        <v>35360</v>
      </c>
      <c r="G140" s="88">
        <v>2.2629999999999999</v>
      </c>
      <c r="H140" s="52">
        <f>SUM(I140:M140)</f>
        <v>92917.988440000001</v>
      </c>
      <c r="I140" s="65">
        <v>92917.988440000001</v>
      </c>
      <c r="J140" s="65">
        <v>0</v>
      </c>
      <c r="K140" s="66">
        <v>0</v>
      </c>
      <c r="L140" s="69">
        <v>0</v>
      </c>
      <c r="M140" s="70">
        <v>0</v>
      </c>
    </row>
    <row r="141" spans="1:17" x14ac:dyDescent="0.25">
      <c r="B141" s="48" t="s">
        <v>139</v>
      </c>
      <c r="C141" s="645"/>
      <c r="D141" s="49"/>
      <c r="E141" s="116"/>
      <c r="F141" s="115">
        <v>44398</v>
      </c>
      <c r="G141" s="88">
        <v>1.95</v>
      </c>
      <c r="H141" s="52">
        <f t="shared" ref="H141:H158" si="10">SUM(I141:M141)</f>
        <v>158534.92733999999</v>
      </c>
      <c r="I141" s="65">
        <f>169625.82003-11090.89269</f>
        <v>158534.92733999999</v>
      </c>
      <c r="J141" s="65">
        <v>0</v>
      </c>
      <c r="K141" s="66">
        <v>0</v>
      </c>
      <c r="L141" s="69">
        <v>0</v>
      </c>
      <c r="M141" s="94">
        <v>0</v>
      </c>
    </row>
    <row r="142" spans="1:17" x14ac:dyDescent="0.25">
      <c r="B142" s="48" t="s">
        <v>30</v>
      </c>
      <c r="C142" s="645"/>
      <c r="D142" s="49"/>
      <c r="E142" s="49"/>
      <c r="F142" s="115">
        <v>10350</v>
      </c>
      <c r="G142" s="88">
        <v>0.68200000000000005</v>
      </c>
      <c r="H142" s="52">
        <f t="shared" si="10"/>
        <v>32108.489030000001</v>
      </c>
      <c r="I142" s="52">
        <v>32108.489030000001</v>
      </c>
      <c r="J142" s="65">
        <v>0</v>
      </c>
      <c r="K142" s="66">
        <v>0</v>
      </c>
      <c r="L142" s="69">
        <v>0</v>
      </c>
      <c r="M142" s="94">
        <v>0</v>
      </c>
    </row>
    <row r="143" spans="1:17" s="99" customFormat="1" ht="33" x14ac:dyDescent="0.25">
      <c r="B143" s="48" t="s">
        <v>181</v>
      </c>
      <c r="C143" s="645"/>
      <c r="D143" s="49"/>
      <c r="E143" s="49"/>
      <c r="F143" s="115">
        <f>1340*20</f>
        <v>26800</v>
      </c>
      <c r="G143" s="88">
        <v>1.34</v>
      </c>
      <c r="H143" s="52">
        <f t="shared" si="10"/>
        <v>91884.078980000006</v>
      </c>
      <c r="I143" s="52">
        <v>0</v>
      </c>
      <c r="J143" s="65">
        <f>88669+3117.6141+97.46488</f>
        <v>91884.078980000006</v>
      </c>
      <c r="K143" s="69">
        <v>0</v>
      </c>
      <c r="L143" s="69">
        <v>0</v>
      </c>
      <c r="M143" s="94">
        <v>0</v>
      </c>
      <c r="N143" s="117"/>
      <c r="P143" s="118"/>
      <c r="Q143" s="119"/>
    </row>
    <row r="144" spans="1:17" s="99" customFormat="1" ht="33" x14ac:dyDescent="0.25">
      <c r="B144" s="48" t="s">
        <v>413</v>
      </c>
      <c r="C144" s="645"/>
      <c r="D144" s="49"/>
      <c r="E144" s="49"/>
      <c r="F144" s="115">
        <f>2600*20</f>
        <v>52000</v>
      </c>
      <c r="G144" s="88">
        <f>2.6</f>
        <v>2.6</v>
      </c>
      <c r="H144" s="52">
        <f t="shared" si="10"/>
        <v>141186.55783999999</v>
      </c>
      <c r="I144" s="52">
        <v>0</v>
      </c>
      <c r="J144" s="69">
        <v>141186.55783999999</v>
      </c>
      <c r="K144" s="69">
        <v>0</v>
      </c>
      <c r="L144" s="69">
        <v>0</v>
      </c>
      <c r="M144" s="94">
        <v>0</v>
      </c>
      <c r="N144" s="120"/>
      <c r="P144" s="118"/>
    </row>
    <row r="145" spans="2:16" s="99" customFormat="1" x14ac:dyDescent="0.25">
      <c r="B145" s="48" t="s">
        <v>182</v>
      </c>
      <c r="C145" s="645"/>
      <c r="D145" s="49"/>
      <c r="E145" s="49"/>
      <c r="F145" s="115">
        <f>830*14</f>
        <v>11620</v>
      </c>
      <c r="G145" s="88">
        <v>0.83</v>
      </c>
      <c r="H145" s="52">
        <f t="shared" si="10"/>
        <v>56709.861400000002</v>
      </c>
      <c r="I145" s="52">
        <v>0</v>
      </c>
      <c r="J145" s="121">
        <v>56709.861400000002</v>
      </c>
      <c r="K145" s="65">
        <v>0</v>
      </c>
      <c r="L145" s="69">
        <v>0</v>
      </c>
      <c r="M145" s="94">
        <v>0</v>
      </c>
      <c r="N145" s="117"/>
    </row>
    <row r="146" spans="2:16" s="101" customFormat="1" ht="50.25" customHeight="1" x14ac:dyDescent="0.25">
      <c r="B146" s="33" t="s">
        <v>629</v>
      </c>
      <c r="C146" s="645"/>
      <c r="D146" s="49"/>
      <c r="E146" s="49"/>
      <c r="F146" s="86">
        <v>22400</v>
      </c>
      <c r="G146" s="90">
        <v>1.4</v>
      </c>
      <c r="H146" s="52">
        <f t="shared" si="10"/>
        <v>66985.179596000002</v>
      </c>
      <c r="I146" s="52">
        <v>0</v>
      </c>
      <c r="J146" s="65">
        <v>0</v>
      </c>
      <c r="K146" s="65">
        <f>'перечень объектов'!C248</f>
        <v>66985.179596000002</v>
      </c>
      <c r="L146" s="69">
        <v>0</v>
      </c>
      <c r="M146" s="94">
        <v>0</v>
      </c>
      <c r="N146" s="5"/>
      <c r="O146" s="1"/>
    </row>
    <row r="147" spans="2:16" s="101" customFormat="1" ht="33" x14ac:dyDescent="0.25">
      <c r="B147" s="48" t="s">
        <v>870</v>
      </c>
      <c r="C147" s="645"/>
      <c r="D147" s="49"/>
      <c r="E147" s="49"/>
      <c r="F147" s="115">
        <f>1640*8</f>
        <v>13120</v>
      </c>
      <c r="G147" s="88">
        <v>1.64</v>
      </c>
      <c r="H147" s="52">
        <f t="shared" si="10"/>
        <v>102069.92543434343</v>
      </c>
      <c r="I147" s="52">
        <v>0</v>
      </c>
      <c r="J147" s="65">
        <v>0</v>
      </c>
      <c r="K147" s="65">
        <f>'перечень объектов'!C249</f>
        <v>102069.92543434343</v>
      </c>
      <c r="L147" s="69">
        <v>0</v>
      </c>
      <c r="M147" s="94">
        <v>0</v>
      </c>
      <c r="N147" s="5"/>
      <c r="O147" s="1"/>
    </row>
    <row r="148" spans="2:16" s="101" customFormat="1" ht="33" hidden="1" x14ac:dyDescent="0.25">
      <c r="B148" s="48" t="s">
        <v>637</v>
      </c>
      <c r="C148" s="645"/>
      <c r="D148" s="49"/>
      <c r="E148" s="49"/>
      <c r="F148" s="115">
        <f>24650-24650</f>
        <v>0</v>
      </c>
      <c r="G148" s="90" t="s">
        <v>223</v>
      </c>
      <c r="H148" s="52">
        <f t="shared" si="10"/>
        <v>0</v>
      </c>
      <c r="I148" s="52">
        <v>0</v>
      </c>
      <c r="J148" s="65">
        <v>0</v>
      </c>
      <c r="K148" s="65">
        <f>48528.2283-48528.2283</f>
        <v>0</v>
      </c>
      <c r="L148" s="69">
        <v>0</v>
      </c>
      <c r="M148" s="94">
        <v>0</v>
      </c>
      <c r="N148" s="5"/>
      <c r="O148" s="9"/>
    </row>
    <row r="149" spans="2:16" s="101" customFormat="1" x14ac:dyDescent="0.25">
      <c r="B149" s="33" t="s">
        <v>744</v>
      </c>
      <c r="C149" s="645"/>
      <c r="D149" s="49"/>
      <c r="E149" s="49"/>
      <c r="F149" s="86">
        <v>10361.86</v>
      </c>
      <c r="G149" s="92">
        <v>0.94</v>
      </c>
      <c r="H149" s="52">
        <f>SUM(I149:M149)</f>
        <v>21813.996639999998</v>
      </c>
      <c r="I149" s="61">
        <v>0</v>
      </c>
      <c r="J149" s="61">
        <v>0</v>
      </c>
      <c r="K149" s="61">
        <f>'перечень объектов'!C250</f>
        <v>21813.996639999998</v>
      </c>
      <c r="L149" s="61">
        <v>0</v>
      </c>
      <c r="M149" s="89">
        <v>0</v>
      </c>
      <c r="N149" s="5"/>
      <c r="O149" s="9"/>
    </row>
    <row r="150" spans="2:16" s="101" customFormat="1" ht="33" x14ac:dyDescent="0.25">
      <c r="B150" s="48" t="str">
        <f>'перечень объектов'!B251</f>
        <v>ул.Пролетарская Гора от ул.Салтыкова-Щедрина до ул. Максима Горького, от дома №5 до ул.Ленина (1 этап)</v>
      </c>
      <c r="C150" s="645"/>
      <c r="D150" s="49"/>
      <c r="E150" s="49"/>
      <c r="F150" s="86"/>
      <c r="G150" s="88"/>
      <c r="H150" s="52">
        <f>SUM(I150:M150)</f>
        <v>2468.0076899999999</v>
      </c>
      <c r="I150" s="61">
        <v>0</v>
      </c>
      <c r="J150" s="61">
        <v>0</v>
      </c>
      <c r="K150" s="61">
        <f>'перечень объектов'!C251</f>
        <v>2468.0076899999999</v>
      </c>
      <c r="L150" s="61">
        <v>0</v>
      </c>
      <c r="M150" s="89">
        <v>0</v>
      </c>
      <c r="N150" s="5"/>
      <c r="O150" s="9"/>
    </row>
    <row r="151" spans="2:16" s="101" customFormat="1" ht="33" x14ac:dyDescent="0.25">
      <c r="B151" s="48" t="str">
        <f>'перечень объектов'!B252</f>
        <v>ул.Пролетарская Гора от ул.Салтыкова-Щедрина до ул. Максима Горького, от дома №5 до ул.Ленина (2 этап)</v>
      </c>
      <c r="C151" s="645"/>
      <c r="D151" s="49"/>
      <c r="E151" s="49"/>
      <c r="F151" s="86">
        <v>9050</v>
      </c>
      <c r="G151" s="88">
        <v>0.625</v>
      </c>
      <c r="H151" s="52">
        <f>SUM(I151:M151)</f>
        <v>8655.0218600000007</v>
      </c>
      <c r="I151" s="61">
        <v>0</v>
      </c>
      <c r="J151" s="61">
        <v>0</v>
      </c>
      <c r="K151" s="61">
        <f>'перечень объектов'!C252</f>
        <v>8655.0218600000007</v>
      </c>
      <c r="L151" s="61">
        <v>0</v>
      </c>
      <c r="M151" s="89">
        <v>0</v>
      </c>
      <c r="N151" s="5"/>
      <c r="O151" s="9"/>
    </row>
    <row r="152" spans="2:16" s="101" customFormat="1" x14ac:dyDescent="0.25">
      <c r="B152" s="48" t="s">
        <v>751</v>
      </c>
      <c r="C152" s="645"/>
      <c r="D152" s="49"/>
      <c r="E152" s="49"/>
      <c r="F152" s="86">
        <v>7015</v>
      </c>
      <c r="G152" s="88">
        <v>0.23</v>
      </c>
      <c r="H152" s="52">
        <f>SUM(I152:M152)</f>
        <v>11984.369909999999</v>
      </c>
      <c r="I152" s="61">
        <v>0</v>
      </c>
      <c r="J152" s="61">
        <v>0</v>
      </c>
      <c r="K152" s="61">
        <f>'перечень объектов'!C253</f>
        <v>11984.369909999999</v>
      </c>
      <c r="L152" s="61">
        <v>0</v>
      </c>
      <c r="M152" s="89">
        <v>0</v>
      </c>
      <c r="N152" s="5"/>
      <c r="O152" s="9"/>
    </row>
    <row r="153" spans="2:16" x14ac:dyDescent="0.25">
      <c r="B153" s="48" t="s">
        <v>515</v>
      </c>
      <c r="C153" s="645"/>
      <c r="D153" s="49"/>
      <c r="E153" s="49"/>
      <c r="F153" s="115">
        <f>1450*8</f>
        <v>11600</v>
      </c>
      <c r="G153" s="88">
        <v>1.45</v>
      </c>
      <c r="H153" s="52">
        <f t="shared" si="10"/>
        <v>86344.368130000003</v>
      </c>
      <c r="I153" s="65">
        <v>0</v>
      </c>
      <c r="J153" s="65">
        <v>86344.368130000003</v>
      </c>
      <c r="K153" s="65">
        <v>0</v>
      </c>
      <c r="L153" s="69">
        <v>0</v>
      </c>
      <c r="M153" s="94">
        <v>0</v>
      </c>
      <c r="O153" s="10"/>
      <c r="P153" s="56"/>
    </row>
    <row r="154" spans="2:16" ht="66" x14ac:dyDescent="0.25">
      <c r="B154" s="48" t="s">
        <v>632</v>
      </c>
      <c r="C154" s="645"/>
      <c r="D154" s="49"/>
      <c r="E154" s="49"/>
      <c r="F154" s="115">
        <f>1830*8</f>
        <v>14640</v>
      </c>
      <c r="G154" s="88">
        <v>1.83</v>
      </c>
      <c r="H154" s="52">
        <f t="shared" si="10"/>
        <v>46380.588199999998</v>
      </c>
      <c r="I154" s="65">
        <v>0</v>
      </c>
      <c r="J154" s="65">
        <v>46380.588199999998</v>
      </c>
      <c r="K154" s="65">
        <v>0</v>
      </c>
      <c r="L154" s="69">
        <v>0</v>
      </c>
      <c r="M154" s="94">
        <v>0</v>
      </c>
      <c r="N154" s="10"/>
      <c r="O154" s="122"/>
      <c r="P154" s="56"/>
    </row>
    <row r="155" spans="2:16" x14ac:dyDescent="0.25">
      <c r="B155" s="48" t="s">
        <v>183</v>
      </c>
      <c r="C155" s="645"/>
      <c r="D155" s="49"/>
      <c r="E155" s="49"/>
      <c r="F155" s="115">
        <f>3070*8</f>
        <v>24560</v>
      </c>
      <c r="G155" s="88">
        <v>3.07</v>
      </c>
      <c r="H155" s="52">
        <f t="shared" si="10"/>
        <v>303030.30303000001</v>
      </c>
      <c r="I155" s="65">
        <v>0</v>
      </c>
      <c r="J155" s="65">
        <v>0</v>
      </c>
      <c r="K155" s="69">
        <v>0</v>
      </c>
      <c r="L155" s="69">
        <v>0</v>
      </c>
      <c r="M155" s="94">
        <v>303030.30303000001</v>
      </c>
    </row>
    <row r="156" spans="2:16" x14ac:dyDescent="0.25">
      <c r="B156" s="48" t="s">
        <v>766</v>
      </c>
      <c r="C156" s="645"/>
      <c r="D156" s="49"/>
      <c r="E156" s="49"/>
      <c r="F156" s="115">
        <f>G156*22000</f>
        <v>23760</v>
      </c>
      <c r="G156" s="88">
        <v>1.08</v>
      </c>
      <c r="H156" s="52">
        <f t="shared" si="10"/>
        <v>303030.30303000001</v>
      </c>
      <c r="I156" s="65">
        <v>0</v>
      </c>
      <c r="J156" s="65">
        <v>0</v>
      </c>
      <c r="K156" s="69">
        <v>0</v>
      </c>
      <c r="L156" s="69">
        <v>303030.30303000001</v>
      </c>
      <c r="M156" s="94">
        <v>0</v>
      </c>
      <c r="N156" s="123"/>
      <c r="O156" s="124"/>
      <c r="P156" s="56"/>
    </row>
    <row r="157" spans="2:16" x14ac:dyDescent="0.25">
      <c r="B157" s="33" t="s">
        <v>26</v>
      </c>
      <c r="C157" s="645"/>
      <c r="D157" s="49"/>
      <c r="E157" s="49"/>
      <c r="F157" s="115"/>
      <c r="G157" s="88"/>
      <c r="H157" s="52">
        <f>SUM(I157:M157)</f>
        <v>83546.059510000006</v>
      </c>
      <c r="I157" s="65">
        <f>91.87364+81.7215+83372.46437</f>
        <v>83546.059510000006</v>
      </c>
      <c r="J157" s="65">
        <v>0</v>
      </c>
      <c r="K157" s="69">
        <v>0</v>
      </c>
      <c r="L157" s="69">
        <v>0</v>
      </c>
      <c r="M157" s="94">
        <v>0</v>
      </c>
    </row>
    <row r="158" spans="2:16" ht="33" x14ac:dyDescent="0.25">
      <c r="B158" s="33" t="s">
        <v>27</v>
      </c>
      <c r="C158" s="646"/>
      <c r="D158" s="49"/>
      <c r="E158" s="49"/>
      <c r="F158" s="115"/>
      <c r="G158" s="88"/>
      <c r="H158" s="52">
        <f t="shared" si="10"/>
        <v>10175.769749999999</v>
      </c>
      <c r="I158" s="65">
        <v>885.322</v>
      </c>
      <c r="J158" s="65">
        <v>3031</v>
      </c>
      <c r="K158" s="65">
        <v>228.44775000000001</v>
      </c>
      <c r="L158" s="69">
        <v>3031</v>
      </c>
      <c r="M158" s="94">
        <v>3000</v>
      </c>
    </row>
    <row r="159" spans="2:16" hidden="1" outlineLevel="1" x14ac:dyDescent="0.25">
      <c r="B159" s="33" t="s">
        <v>31</v>
      </c>
      <c r="C159" s="49"/>
      <c r="D159" s="49"/>
      <c r="E159" s="49"/>
      <c r="F159" s="50"/>
      <c r="G159" s="51"/>
      <c r="H159" s="65"/>
      <c r="I159" s="65">
        <v>0</v>
      </c>
      <c r="J159" s="65">
        <v>0</v>
      </c>
      <c r="K159" s="65">
        <v>0</v>
      </c>
      <c r="L159" s="65">
        <v>0</v>
      </c>
      <c r="M159" s="70">
        <v>0</v>
      </c>
    </row>
    <row r="160" spans="2:16" ht="17.25" collapsed="1" x14ac:dyDescent="0.25">
      <c r="B160" s="72" t="s">
        <v>16</v>
      </c>
      <c r="C160" s="49"/>
      <c r="D160" s="49"/>
      <c r="E160" s="49"/>
      <c r="F160" s="50"/>
      <c r="G160" s="125"/>
      <c r="H160" s="66"/>
      <c r="I160" s="677"/>
      <c r="J160" s="678"/>
      <c r="K160" s="678"/>
      <c r="L160" s="678"/>
      <c r="M160" s="679"/>
    </row>
    <row r="161" spans="2:14" x14ac:dyDescent="0.25">
      <c r="B161" s="33" t="s">
        <v>77</v>
      </c>
      <c r="C161" s="49"/>
      <c r="D161" s="49"/>
      <c r="E161" s="49"/>
      <c r="F161" s="50"/>
      <c r="G161" s="125"/>
      <c r="H161" s="65">
        <f>SUM(I161:M161)</f>
        <v>0</v>
      </c>
      <c r="I161" s="69">
        <v>0</v>
      </c>
      <c r="J161" s="69">
        <v>0</v>
      </c>
      <c r="K161" s="69">
        <f>'перечень объектов'!D247</f>
        <v>0</v>
      </c>
      <c r="L161" s="69">
        <v>0</v>
      </c>
      <c r="M161" s="70">
        <v>0</v>
      </c>
    </row>
    <row r="162" spans="2:14" x14ac:dyDescent="0.25">
      <c r="B162" s="33" t="s">
        <v>513</v>
      </c>
      <c r="C162" s="49"/>
      <c r="D162" s="49"/>
      <c r="E162" s="49"/>
      <c r="F162" s="50"/>
      <c r="G162" s="125"/>
      <c r="H162" s="65">
        <f>SUM(I162:M162)</f>
        <v>0</v>
      </c>
      <c r="I162" s="69">
        <v>0</v>
      </c>
      <c r="J162" s="69">
        <f>'перечень объектов'!E183</f>
        <v>0</v>
      </c>
      <c r="K162" s="69">
        <f>'перечень объектов'!E247</f>
        <v>0</v>
      </c>
      <c r="L162" s="69">
        <v>0</v>
      </c>
      <c r="M162" s="70">
        <v>0</v>
      </c>
    </row>
    <row r="163" spans="2:14" x14ac:dyDescent="0.25">
      <c r="B163" s="33" t="s">
        <v>9</v>
      </c>
      <c r="C163" s="49"/>
      <c r="D163" s="49"/>
      <c r="E163" s="49"/>
      <c r="F163" s="50"/>
      <c r="G163" s="51"/>
      <c r="H163" s="65">
        <f>SUM(I163:M163)</f>
        <v>1593381.66661144</v>
      </c>
      <c r="I163" s="69">
        <v>363264.53048820002</v>
      </c>
      <c r="J163" s="69">
        <f>'перечень объектов'!F183</f>
        <v>418280.40000449994</v>
      </c>
      <c r="K163" s="69">
        <f>'перечень объектов'!F247</f>
        <v>211836.73611904003</v>
      </c>
      <c r="L163" s="69">
        <f>'перечень объектов'!F353</f>
        <v>299999.9999997</v>
      </c>
      <c r="M163" s="70">
        <v>300000</v>
      </c>
    </row>
    <row r="164" spans="2:14" x14ac:dyDescent="0.25">
      <c r="B164" s="33" t="s">
        <v>10</v>
      </c>
      <c r="C164" s="49"/>
      <c r="D164" s="49"/>
      <c r="E164" s="49"/>
      <c r="F164" s="126"/>
      <c r="G164" s="127"/>
      <c r="H164" s="128">
        <f>SUM(I164:M164)</f>
        <v>24207.67033710302</v>
      </c>
      <c r="I164" s="69">
        <v>5522.1</v>
      </c>
      <c r="J164" s="69">
        <f>'перечень объектов'!G183</f>
        <v>7256.0545455000101</v>
      </c>
      <c r="K164" s="69">
        <f>'перечень объектов'!G247</f>
        <v>2368.2127613029975</v>
      </c>
      <c r="L164" s="69">
        <f>'перечень объектов'!G353</f>
        <v>6061.3030303000123</v>
      </c>
      <c r="M164" s="129">
        <v>3000</v>
      </c>
      <c r="N164" s="10"/>
    </row>
    <row r="165" spans="2:14" ht="17.25" x14ac:dyDescent="0.25">
      <c r="B165" s="692"/>
      <c r="C165" s="669"/>
      <c r="D165" s="669"/>
      <c r="E165" s="669"/>
      <c r="F165" s="738"/>
      <c r="G165" s="738"/>
      <c r="H165" s="738"/>
      <c r="I165" s="738"/>
      <c r="J165" s="738"/>
      <c r="K165" s="738"/>
      <c r="L165" s="738"/>
      <c r="M165" s="739"/>
    </row>
    <row r="166" spans="2:14" x14ac:dyDescent="0.25">
      <c r="B166" s="37" t="s">
        <v>132</v>
      </c>
      <c r="C166" s="130"/>
      <c r="D166" s="131"/>
      <c r="E166" s="38"/>
      <c r="F166" s="688" t="s">
        <v>114</v>
      </c>
      <c r="G166" s="689"/>
      <c r="H166" s="132"/>
      <c r="I166" s="41"/>
      <c r="J166" s="39"/>
      <c r="K166" s="40"/>
      <c r="L166" s="133"/>
      <c r="M166" s="42"/>
    </row>
    <row r="167" spans="2:14" ht="90" customHeight="1" x14ac:dyDescent="0.25">
      <c r="B167" s="43" t="s">
        <v>13</v>
      </c>
      <c r="C167" s="671" t="s">
        <v>319</v>
      </c>
      <c r="D167" s="44">
        <v>2022</v>
      </c>
      <c r="E167" s="44">
        <v>2026</v>
      </c>
      <c r="F167" s="690"/>
      <c r="G167" s="691"/>
      <c r="H167" s="134">
        <f t="shared" ref="H167:M167" si="11">SUM(H168:H195)</f>
        <v>17230.651080800002</v>
      </c>
      <c r="I167" s="29">
        <f>SUM(I168:I195)</f>
        <v>9330.6510808000021</v>
      </c>
      <c r="J167" s="29">
        <f t="shared" si="11"/>
        <v>2200</v>
      </c>
      <c r="K167" s="29">
        <f t="shared" si="11"/>
        <v>1300</v>
      </c>
      <c r="L167" s="29">
        <f t="shared" si="11"/>
        <v>2200</v>
      </c>
      <c r="M167" s="30">
        <f t="shared" si="11"/>
        <v>2200</v>
      </c>
      <c r="N167" s="10"/>
    </row>
    <row r="168" spans="2:14" hidden="1" x14ac:dyDescent="0.25">
      <c r="B168" s="135" t="s">
        <v>32</v>
      </c>
      <c r="C168" s="684"/>
      <c r="D168" s="107"/>
      <c r="E168" s="49"/>
      <c r="F168" s="50"/>
      <c r="G168" s="136" t="s">
        <v>85</v>
      </c>
      <c r="H168" s="137">
        <f>SUM(I168:M168)</f>
        <v>0</v>
      </c>
      <c r="I168" s="67">
        <f>500-500</f>
        <v>0</v>
      </c>
      <c r="J168" s="65">
        <v>0</v>
      </c>
      <c r="K168" s="65">
        <v>0</v>
      </c>
      <c r="L168" s="65">
        <v>0</v>
      </c>
      <c r="M168" s="70">
        <v>0</v>
      </c>
    </row>
    <row r="169" spans="2:14" hidden="1" x14ac:dyDescent="0.25">
      <c r="B169" s="135" t="s">
        <v>33</v>
      </c>
      <c r="C169" s="684"/>
      <c r="D169" s="107"/>
      <c r="E169" s="49"/>
      <c r="F169" s="50"/>
      <c r="G169" s="136" t="s">
        <v>86</v>
      </c>
      <c r="H169" s="137">
        <f t="shared" ref="H169:H195" si="12">SUM(I169:M169)</f>
        <v>0</v>
      </c>
      <c r="I169" s="67">
        <f>700-700</f>
        <v>0</v>
      </c>
      <c r="J169" s="65">
        <v>0</v>
      </c>
      <c r="K169" s="65">
        <v>0</v>
      </c>
      <c r="L169" s="65">
        <v>0</v>
      </c>
      <c r="M169" s="70">
        <v>0</v>
      </c>
    </row>
    <row r="170" spans="2:14" ht="33" x14ac:dyDescent="0.25">
      <c r="B170" s="135" t="s">
        <v>146</v>
      </c>
      <c r="C170" s="684"/>
      <c r="D170" s="107"/>
      <c r="E170" s="49"/>
      <c r="F170" s="50"/>
      <c r="G170" s="136"/>
      <c r="H170" s="137">
        <f t="shared" si="12"/>
        <v>1051</v>
      </c>
      <c r="I170" s="67">
        <v>150</v>
      </c>
      <c r="J170" s="67">
        <v>150</v>
      </c>
      <c r="K170" s="67">
        <v>451</v>
      </c>
      <c r="L170" s="67">
        <v>150</v>
      </c>
      <c r="M170" s="68">
        <v>150</v>
      </c>
    </row>
    <row r="171" spans="2:14" ht="33" x14ac:dyDescent="0.25">
      <c r="B171" s="135" t="s">
        <v>147</v>
      </c>
      <c r="C171" s="684"/>
      <c r="D171" s="107"/>
      <c r="E171" s="49"/>
      <c r="F171" s="50"/>
      <c r="G171" s="136"/>
      <c r="H171" s="137">
        <f t="shared" si="12"/>
        <v>600</v>
      </c>
      <c r="I171" s="67">
        <v>150</v>
      </c>
      <c r="J171" s="67">
        <v>150</v>
      </c>
      <c r="K171" s="67">
        <v>0</v>
      </c>
      <c r="L171" s="67">
        <v>150</v>
      </c>
      <c r="M171" s="68">
        <v>150</v>
      </c>
    </row>
    <row r="172" spans="2:14" s="138" customFormat="1" ht="49.5" x14ac:dyDescent="0.25">
      <c r="B172" s="135" t="s">
        <v>253</v>
      </c>
      <c r="C172" s="684"/>
      <c r="D172" s="107"/>
      <c r="E172" s="49"/>
      <c r="F172" s="50"/>
      <c r="G172" s="139" t="s">
        <v>206</v>
      </c>
      <c r="H172" s="137">
        <f t="shared" si="12"/>
        <v>937.91759999999999</v>
      </c>
      <c r="I172" s="67">
        <f>937.9176</f>
        <v>937.91759999999999</v>
      </c>
      <c r="J172" s="65">
        <v>0</v>
      </c>
      <c r="K172" s="65">
        <v>0</v>
      </c>
      <c r="L172" s="65">
        <v>0</v>
      </c>
      <c r="M172" s="70">
        <v>0</v>
      </c>
      <c r="N172" s="140"/>
    </row>
    <row r="173" spans="2:14" s="138" customFormat="1" ht="49.5" x14ac:dyDescent="0.25">
      <c r="B173" s="135" t="s">
        <v>254</v>
      </c>
      <c r="C173" s="684"/>
      <c r="D173" s="107"/>
      <c r="E173" s="49"/>
      <c r="F173" s="50"/>
      <c r="G173" s="139" t="s">
        <v>206</v>
      </c>
      <c r="H173" s="137">
        <f t="shared" si="12"/>
        <v>940.24440000000004</v>
      </c>
      <c r="I173" s="67">
        <f>940.2444</f>
        <v>940.24440000000004</v>
      </c>
      <c r="J173" s="65">
        <v>0</v>
      </c>
      <c r="K173" s="65">
        <v>0</v>
      </c>
      <c r="L173" s="65">
        <v>0</v>
      </c>
      <c r="M173" s="70">
        <v>0</v>
      </c>
      <c r="N173" s="140"/>
    </row>
    <row r="174" spans="2:14" s="138" customFormat="1" ht="49.5" x14ac:dyDescent="0.25">
      <c r="B174" s="135" t="s">
        <v>255</v>
      </c>
      <c r="C174" s="684"/>
      <c r="D174" s="107"/>
      <c r="E174" s="49"/>
      <c r="F174" s="50"/>
      <c r="G174" s="139" t="s">
        <v>206</v>
      </c>
      <c r="H174" s="137">
        <f t="shared" si="12"/>
        <v>467.87470000000002</v>
      </c>
      <c r="I174" s="67">
        <f>467.8747</f>
        <v>467.87470000000002</v>
      </c>
      <c r="J174" s="65">
        <v>0</v>
      </c>
      <c r="K174" s="65">
        <v>0</v>
      </c>
      <c r="L174" s="65">
        <v>0</v>
      </c>
      <c r="M174" s="70">
        <v>0</v>
      </c>
      <c r="N174" s="140"/>
    </row>
    <row r="175" spans="2:14" s="138" customFormat="1" x14ac:dyDescent="0.25">
      <c r="B175" s="135" t="s">
        <v>392</v>
      </c>
      <c r="C175" s="684"/>
      <c r="D175" s="107"/>
      <c r="E175" s="49"/>
      <c r="F175" s="50"/>
      <c r="G175" s="136"/>
      <c r="H175" s="137">
        <f t="shared" si="12"/>
        <v>58.090919999999997</v>
      </c>
      <c r="I175" s="67">
        <v>58.090919999999997</v>
      </c>
      <c r="J175" s="65">
        <v>0</v>
      </c>
      <c r="K175" s="65">
        <v>0</v>
      </c>
      <c r="L175" s="65">
        <v>0</v>
      </c>
      <c r="M175" s="70">
        <v>0</v>
      </c>
      <c r="N175" s="140"/>
    </row>
    <row r="176" spans="2:14" s="141" customFormat="1" ht="49.5" hidden="1" outlineLevel="1" x14ac:dyDescent="0.25">
      <c r="B176" s="135" t="s">
        <v>277</v>
      </c>
      <c r="C176" s="684"/>
      <c r="D176" s="107"/>
      <c r="E176" s="49"/>
      <c r="F176" s="50"/>
      <c r="G176" s="136"/>
      <c r="H176" s="137">
        <f t="shared" si="12"/>
        <v>0</v>
      </c>
      <c r="I176" s="67">
        <f>1590154/1000-1590.154</f>
        <v>0</v>
      </c>
      <c r="J176" s="65">
        <v>0</v>
      </c>
      <c r="K176" s="65">
        <v>0</v>
      </c>
      <c r="L176" s="65">
        <v>0</v>
      </c>
      <c r="M176" s="70">
        <v>0</v>
      </c>
      <c r="N176" s="142"/>
    </row>
    <row r="177" spans="2:14" s="141" customFormat="1" ht="49.5" hidden="1" outlineLevel="1" x14ac:dyDescent="0.25">
      <c r="B177" s="135" t="s">
        <v>278</v>
      </c>
      <c r="C177" s="684"/>
      <c r="D177" s="107"/>
      <c r="E177" s="49"/>
      <c r="F177" s="50"/>
      <c r="G177" s="136"/>
      <c r="H177" s="137">
        <f t="shared" si="12"/>
        <v>0</v>
      </c>
      <c r="I177" s="67">
        <f>966094/1000-966.094</f>
        <v>0</v>
      </c>
      <c r="J177" s="65">
        <v>0</v>
      </c>
      <c r="K177" s="65">
        <v>0</v>
      </c>
      <c r="L177" s="65">
        <v>0</v>
      </c>
      <c r="M177" s="70">
        <v>0</v>
      </c>
      <c r="N177" s="143"/>
    </row>
    <row r="178" spans="2:14" s="141" customFormat="1" ht="49.5" hidden="1" outlineLevel="1" x14ac:dyDescent="0.25">
      <c r="B178" s="135" t="s">
        <v>279</v>
      </c>
      <c r="C178" s="684"/>
      <c r="D178" s="107"/>
      <c r="E178" s="49"/>
      <c r="F178" s="50"/>
      <c r="G178" s="136"/>
      <c r="H178" s="137">
        <f t="shared" si="12"/>
        <v>0</v>
      </c>
      <c r="I178" s="67">
        <f>1270673/1000-1270.673</f>
        <v>0</v>
      </c>
      <c r="J178" s="65">
        <v>0</v>
      </c>
      <c r="K178" s="65">
        <v>0</v>
      </c>
      <c r="L178" s="65">
        <v>0</v>
      </c>
      <c r="M178" s="70">
        <v>0</v>
      </c>
      <c r="N178" s="143"/>
    </row>
    <row r="179" spans="2:14" s="141" customFormat="1" ht="49.5" hidden="1" outlineLevel="1" x14ac:dyDescent="0.25">
      <c r="B179" s="135" t="s">
        <v>276</v>
      </c>
      <c r="C179" s="684"/>
      <c r="D179" s="107"/>
      <c r="E179" s="49"/>
      <c r="F179" s="50"/>
      <c r="G179" s="136"/>
      <c r="H179" s="137">
        <f t="shared" si="12"/>
        <v>0</v>
      </c>
      <c r="I179" s="67">
        <f>2392052/1000-2392.052</f>
        <v>0</v>
      </c>
      <c r="J179" s="65">
        <v>0</v>
      </c>
      <c r="K179" s="65">
        <v>0</v>
      </c>
      <c r="L179" s="65">
        <v>0</v>
      </c>
      <c r="M179" s="70">
        <v>0</v>
      </c>
      <c r="N179" s="143"/>
    </row>
    <row r="180" spans="2:14" s="141" customFormat="1" ht="49.5" hidden="1" outlineLevel="1" x14ac:dyDescent="0.25">
      <c r="B180" s="135" t="s">
        <v>280</v>
      </c>
      <c r="C180" s="684"/>
      <c r="D180" s="107"/>
      <c r="E180" s="49"/>
      <c r="F180" s="50"/>
      <c r="G180" s="136"/>
      <c r="H180" s="137">
        <f t="shared" si="12"/>
        <v>0</v>
      </c>
      <c r="I180" s="67">
        <f>972435.6/1000-972.4356</f>
        <v>0</v>
      </c>
      <c r="J180" s="65">
        <v>0</v>
      </c>
      <c r="K180" s="65">
        <v>0</v>
      </c>
      <c r="L180" s="65">
        <v>0</v>
      </c>
      <c r="M180" s="70">
        <v>0</v>
      </c>
      <c r="N180" s="143"/>
    </row>
    <row r="181" spans="2:14" s="141" customFormat="1" ht="49.5" hidden="1" outlineLevel="1" x14ac:dyDescent="0.25">
      <c r="B181" s="135" t="s">
        <v>281</v>
      </c>
      <c r="C181" s="684"/>
      <c r="D181" s="107"/>
      <c r="E181" s="49"/>
      <c r="F181" s="50"/>
      <c r="G181" s="139"/>
      <c r="H181" s="137">
        <f t="shared" si="12"/>
        <v>0</v>
      </c>
      <c r="I181" s="67">
        <f>881194/1000-881.194</f>
        <v>0</v>
      </c>
      <c r="J181" s="65">
        <v>0</v>
      </c>
      <c r="K181" s="65">
        <v>0</v>
      </c>
      <c r="L181" s="65">
        <v>0</v>
      </c>
      <c r="M181" s="70">
        <v>0</v>
      </c>
      <c r="N181" s="143"/>
    </row>
    <row r="182" spans="2:14" s="141" customFormat="1" ht="49.5" hidden="1" outlineLevel="1" x14ac:dyDescent="0.25">
      <c r="B182" s="135" t="s">
        <v>282</v>
      </c>
      <c r="C182" s="684"/>
      <c r="D182" s="107"/>
      <c r="E182" s="49"/>
      <c r="F182" s="50"/>
      <c r="G182" s="139"/>
      <c r="H182" s="137">
        <f t="shared" si="12"/>
        <v>0</v>
      </c>
      <c r="I182" s="67">
        <f>1603699/1000-1603.699</f>
        <v>0</v>
      </c>
      <c r="J182" s="65">
        <v>0</v>
      </c>
      <c r="K182" s="65">
        <v>0</v>
      </c>
      <c r="L182" s="65">
        <v>0</v>
      </c>
      <c r="M182" s="70">
        <v>0</v>
      </c>
      <c r="N182" s="143"/>
    </row>
    <row r="183" spans="2:14" s="144" customFormat="1" ht="49.5" hidden="1" outlineLevel="1" x14ac:dyDescent="0.25">
      <c r="B183" s="135" t="s">
        <v>283</v>
      </c>
      <c r="C183" s="684"/>
      <c r="D183" s="107"/>
      <c r="E183" s="49"/>
      <c r="F183" s="50"/>
      <c r="G183" s="139"/>
      <c r="H183" s="137">
        <f t="shared" si="12"/>
        <v>0</v>
      </c>
      <c r="I183" s="67">
        <f>1203291.6/1000-1203.2916</f>
        <v>0</v>
      </c>
      <c r="J183" s="65">
        <v>0</v>
      </c>
      <c r="K183" s="65">
        <v>0</v>
      </c>
      <c r="L183" s="65">
        <v>0</v>
      </c>
      <c r="M183" s="70">
        <v>0</v>
      </c>
      <c r="N183" s="145"/>
    </row>
    <row r="184" spans="2:14" s="144" customFormat="1" ht="49.5" hidden="1" outlineLevel="1" x14ac:dyDescent="0.25">
      <c r="B184" s="135" t="s">
        <v>284</v>
      </c>
      <c r="C184" s="684"/>
      <c r="D184" s="107"/>
      <c r="E184" s="49"/>
      <c r="F184" s="50"/>
      <c r="G184" s="139"/>
      <c r="H184" s="137">
        <f t="shared" si="12"/>
        <v>0</v>
      </c>
      <c r="I184" s="67">
        <f>1468440/1000-1468.44</f>
        <v>0</v>
      </c>
      <c r="J184" s="65">
        <v>0</v>
      </c>
      <c r="K184" s="65">
        <v>0</v>
      </c>
      <c r="L184" s="65">
        <v>0</v>
      </c>
      <c r="M184" s="70">
        <v>0</v>
      </c>
      <c r="N184" s="145"/>
    </row>
    <row r="185" spans="2:14" s="144" customFormat="1" ht="49.5" hidden="1" outlineLevel="1" x14ac:dyDescent="0.25">
      <c r="B185" s="135" t="s">
        <v>285</v>
      </c>
      <c r="C185" s="684"/>
      <c r="D185" s="107"/>
      <c r="E185" s="49"/>
      <c r="F185" s="50"/>
      <c r="G185" s="139"/>
      <c r="H185" s="137">
        <f t="shared" si="12"/>
        <v>0</v>
      </c>
      <c r="I185" s="67">
        <f>861013.2/1000-861.0132</f>
        <v>0</v>
      </c>
      <c r="J185" s="65">
        <v>0</v>
      </c>
      <c r="K185" s="65">
        <v>0</v>
      </c>
      <c r="L185" s="65">
        <v>0</v>
      </c>
      <c r="M185" s="70">
        <v>0</v>
      </c>
      <c r="N185" s="145"/>
    </row>
    <row r="186" spans="2:14" s="144" customFormat="1" ht="49.5" hidden="1" outlineLevel="1" x14ac:dyDescent="0.25">
      <c r="B186" s="135" t="s">
        <v>322</v>
      </c>
      <c r="C186" s="684"/>
      <c r="D186" s="107"/>
      <c r="E186" s="49"/>
      <c r="F186" s="50"/>
      <c r="G186" s="139"/>
      <c r="H186" s="137">
        <f t="shared" si="12"/>
        <v>0</v>
      </c>
      <c r="I186" s="67">
        <f>800-800</f>
        <v>0</v>
      </c>
      <c r="J186" s="65">
        <v>0</v>
      </c>
      <c r="K186" s="65">
        <v>0</v>
      </c>
      <c r="L186" s="65">
        <v>0</v>
      </c>
      <c r="M186" s="70">
        <v>0</v>
      </c>
      <c r="N186" s="145"/>
    </row>
    <row r="187" spans="2:14" ht="49.5" collapsed="1" x14ac:dyDescent="0.25">
      <c r="B187" s="135" t="s">
        <v>211</v>
      </c>
      <c r="C187" s="684"/>
      <c r="D187" s="107"/>
      <c r="E187" s="49"/>
      <c r="F187" s="50"/>
      <c r="G187" s="139" t="s">
        <v>210</v>
      </c>
      <c r="H187" s="137">
        <f t="shared" si="12"/>
        <v>1603.2324000000001</v>
      </c>
      <c r="I187" s="67">
        <f>210.7344+560.1444+414.0648+418.2888</f>
        <v>1603.2324000000001</v>
      </c>
      <c r="J187" s="65">
        <v>0</v>
      </c>
      <c r="K187" s="65">
        <v>0</v>
      </c>
      <c r="L187" s="65">
        <v>0</v>
      </c>
      <c r="M187" s="70">
        <v>0</v>
      </c>
      <c r="N187" s="59"/>
    </row>
    <row r="188" spans="2:14" ht="49.5" x14ac:dyDescent="0.25">
      <c r="B188" s="135" t="s">
        <v>218</v>
      </c>
      <c r="C188" s="684"/>
      <c r="D188" s="107"/>
      <c r="E188" s="49"/>
      <c r="F188" s="50"/>
      <c r="G188" s="139" t="s">
        <v>206</v>
      </c>
      <c r="H188" s="137">
        <f t="shared" si="12"/>
        <v>2154.2671099999998</v>
      </c>
      <c r="I188" s="67">
        <f>2154.26711</f>
        <v>2154.2671099999998</v>
      </c>
      <c r="J188" s="65">
        <v>0</v>
      </c>
      <c r="K188" s="65">
        <v>0</v>
      </c>
      <c r="L188" s="65">
        <v>0</v>
      </c>
      <c r="M188" s="70">
        <v>0</v>
      </c>
      <c r="N188" s="59"/>
    </row>
    <row r="189" spans="2:14" ht="49.5" x14ac:dyDescent="0.25">
      <c r="B189" s="135" t="s">
        <v>219</v>
      </c>
      <c r="C189" s="684"/>
      <c r="D189" s="107"/>
      <c r="E189" s="49"/>
      <c r="F189" s="50"/>
      <c r="G189" s="139" t="s">
        <v>206</v>
      </c>
      <c r="H189" s="137">
        <f t="shared" si="12"/>
        <v>1489.1971008</v>
      </c>
      <c r="I189" s="67">
        <f>1489.24698-0.0473855-0.0023693-0.0001184-0.000006</f>
        <v>1489.1971008</v>
      </c>
      <c r="J189" s="65">
        <v>0</v>
      </c>
      <c r="K189" s="65">
        <v>0</v>
      </c>
      <c r="L189" s="65">
        <v>0</v>
      </c>
      <c r="M189" s="70">
        <v>0</v>
      </c>
    </row>
    <row r="190" spans="2:14" ht="49.5" x14ac:dyDescent="0.25">
      <c r="B190" s="135" t="s">
        <v>220</v>
      </c>
      <c r="C190" s="684"/>
      <c r="D190" s="107"/>
      <c r="E190" s="49"/>
      <c r="F190" s="50"/>
      <c r="G190" s="139" t="s">
        <v>206</v>
      </c>
      <c r="H190" s="137">
        <f t="shared" si="12"/>
        <v>408.76042000000001</v>
      </c>
      <c r="I190" s="67">
        <f>408.76042</f>
        <v>408.76042000000001</v>
      </c>
      <c r="J190" s="65">
        <v>0</v>
      </c>
      <c r="K190" s="65">
        <v>0</v>
      </c>
      <c r="L190" s="65">
        <v>0</v>
      </c>
      <c r="M190" s="70">
        <v>0</v>
      </c>
    </row>
    <row r="191" spans="2:14" ht="49.5" x14ac:dyDescent="0.25">
      <c r="B191" s="135" t="s">
        <v>221</v>
      </c>
      <c r="C191" s="684"/>
      <c r="D191" s="107"/>
      <c r="E191" s="49"/>
      <c r="F191" s="50"/>
      <c r="G191" s="139" t="s">
        <v>206</v>
      </c>
      <c r="H191" s="137">
        <f t="shared" si="12"/>
        <v>35.221240000000002</v>
      </c>
      <c r="I191" s="67">
        <f>35.22124</f>
        <v>35.221240000000002</v>
      </c>
      <c r="J191" s="65">
        <v>0</v>
      </c>
      <c r="K191" s="65">
        <v>0</v>
      </c>
      <c r="L191" s="65">
        <v>0</v>
      </c>
      <c r="M191" s="70">
        <v>0</v>
      </c>
    </row>
    <row r="192" spans="2:14" ht="49.5" x14ac:dyDescent="0.25">
      <c r="B192" s="135" t="s">
        <v>222</v>
      </c>
      <c r="C192" s="684"/>
      <c r="D192" s="107"/>
      <c r="E192" s="49"/>
      <c r="F192" s="50"/>
      <c r="G192" s="139" t="s">
        <v>206</v>
      </c>
      <c r="H192" s="137">
        <f t="shared" si="12"/>
        <v>421.00594000000001</v>
      </c>
      <c r="I192" s="67">
        <f>421.00594</f>
        <v>421.00594000000001</v>
      </c>
      <c r="J192" s="65">
        <v>0</v>
      </c>
      <c r="K192" s="65">
        <v>0</v>
      </c>
      <c r="L192" s="65">
        <v>0</v>
      </c>
      <c r="M192" s="70">
        <v>0</v>
      </c>
    </row>
    <row r="193" spans="2:17" x14ac:dyDescent="0.25">
      <c r="B193" s="135" t="s">
        <v>321</v>
      </c>
      <c r="C193" s="684"/>
      <c r="D193" s="107"/>
      <c r="E193" s="49"/>
      <c r="F193" s="50"/>
      <c r="G193" s="139"/>
      <c r="H193" s="137">
        <f t="shared" si="12"/>
        <v>6549</v>
      </c>
      <c r="I193" s="67">
        <f>400-400</f>
        <v>0</v>
      </c>
      <c r="J193" s="65">
        <f>1900</f>
        <v>1900</v>
      </c>
      <c r="K193" s="65">
        <f>1300-K170</f>
        <v>849</v>
      </c>
      <c r="L193" s="65">
        <v>1900</v>
      </c>
      <c r="M193" s="70">
        <v>1900</v>
      </c>
    </row>
    <row r="194" spans="2:17" x14ac:dyDescent="0.25">
      <c r="B194" s="135" t="s">
        <v>26</v>
      </c>
      <c r="C194" s="684"/>
      <c r="D194" s="107"/>
      <c r="E194" s="49"/>
      <c r="F194" s="50"/>
      <c r="G194" s="146"/>
      <c r="H194" s="137">
        <f t="shared" si="12"/>
        <v>0</v>
      </c>
      <c r="I194" s="67">
        <f>1170.95242-1170.95242</f>
        <v>0</v>
      </c>
      <c r="J194" s="65">
        <v>0</v>
      </c>
      <c r="K194" s="65">
        <v>0</v>
      </c>
      <c r="L194" s="65">
        <v>0</v>
      </c>
      <c r="M194" s="70">
        <v>0</v>
      </c>
    </row>
    <row r="195" spans="2:17" ht="33" x14ac:dyDescent="0.25">
      <c r="B195" s="135" t="s">
        <v>27</v>
      </c>
      <c r="C195" s="728"/>
      <c r="D195" s="107"/>
      <c r="E195" s="49"/>
      <c r="F195" s="50"/>
      <c r="G195" s="146"/>
      <c r="H195" s="137">
        <f t="shared" si="12"/>
        <v>514.83924999999999</v>
      </c>
      <c r="I195" s="67">
        <v>514.83924999999999</v>
      </c>
      <c r="J195" s="65">
        <v>0</v>
      </c>
      <c r="K195" s="65">
        <v>0</v>
      </c>
      <c r="L195" s="65">
        <v>0</v>
      </c>
      <c r="M195" s="70">
        <v>0</v>
      </c>
    </row>
    <row r="196" spans="2:17" hidden="1" outlineLevel="1" x14ac:dyDescent="0.25">
      <c r="B196" s="135" t="s">
        <v>28</v>
      </c>
      <c r="C196" s="146"/>
      <c r="D196" s="107"/>
      <c r="E196" s="49"/>
      <c r="F196" s="50"/>
      <c r="G196" s="146"/>
      <c r="H196" s="67"/>
      <c r="I196" s="67">
        <v>0</v>
      </c>
      <c r="J196" s="65">
        <v>0</v>
      </c>
      <c r="K196" s="65">
        <v>0</v>
      </c>
      <c r="L196" s="65">
        <v>0</v>
      </c>
      <c r="M196" s="70">
        <v>0</v>
      </c>
    </row>
    <row r="197" spans="2:17" ht="17.25" collapsed="1" x14ac:dyDescent="0.25">
      <c r="B197" s="72" t="s">
        <v>16</v>
      </c>
      <c r="C197" s="146"/>
      <c r="D197" s="107"/>
      <c r="E197" s="49"/>
      <c r="F197" s="50"/>
      <c r="G197" s="49"/>
      <c r="H197" s="84"/>
      <c r="I197" s="677"/>
      <c r="J197" s="678"/>
      <c r="K197" s="678"/>
      <c r="L197" s="678"/>
      <c r="M197" s="679"/>
    </row>
    <row r="198" spans="2:17" x14ac:dyDescent="0.25">
      <c r="B198" s="33" t="s">
        <v>77</v>
      </c>
      <c r="C198" s="146"/>
      <c r="D198" s="107"/>
      <c r="E198" s="49"/>
      <c r="F198" s="50"/>
      <c r="G198" s="49"/>
      <c r="H198" s="67">
        <f>SUM(I198:M198)</f>
        <v>0</v>
      </c>
      <c r="I198" s="67">
        <v>0</v>
      </c>
      <c r="J198" s="67">
        <v>0</v>
      </c>
      <c r="K198" s="67">
        <v>0</v>
      </c>
      <c r="L198" s="67">
        <v>0</v>
      </c>
      <c r="M198" s="68">
        <v>0</v>
      </c>
    </row>
    <row r="199" spans="2:17" x14ac:dyDescent="0.25">
      <c r="B199" s="33" t="s">
        <v>9</v>
      </c>
      <c r="C199" s="146"/>
      <c r="D199" s="107"/>
      <c r="E199" s="49"/>
      <c r="F199" s="50"/>
      <c r="G199" s="146"/>
      <c r="H199" s="67">
        <f>SUM(I199:M199)</f>
        <v>5806.1000002599994</v>
      </c>
      <c r="I199" s="67">
        <v>5806.1000002599994</v>
      </c>
      <c r="J199" s="67">
        <v>0</v>
      </c>
      <c r="K199" s="67">
        <v>0</v>
      </c>
      <c r="L199" s="67">
        <v>0</v>
      </c>
      <c r="M199" s="68">
        <v>0</v>
      </c>
    </row>
    <row r="200" spans="2:17" x14ac:dyDescent="0.25">
      <c r="B200" s="33" t="s">
        <v>10</v>
      </c>
      <c r="C200" s="146"/>
      <c r="D200" s="146"/>
      <c r="E200" s="49"/>
      <c r="F200" s="50"/>
      <c r="G200" s="146"/>
      <c r="H200" s="67">
        <f>SUM(I200:M200)</f>
        <v>11425.6</v>
      </c>
      <c r="I200" s="67">
        <v>3525.6</v>
      </c>
      <c r="J200" s="67">
        <f>J170+J171+J193</f>
        <v>2200</v>
      </c>
      <c r="K200" s="67">
        <f>K170+K171+K193</f>
        <v>1300</v>
      </c>
      <c r="L200" s="67">
        <f>L170+L171+L193</f>
        <v>2200</v>
      </c>
      <c r="M200" s="68">
        <f>M170+M171+M193</f>
        <v>2200</v>
      </c>
      <c r="N200" s="59"/>
    </row>
    <row r="201" spans="2:17" ht="17.25" x14ac:dyDescent="0.25">
      <c r="B201" s="692"/>
      <c r="C201" s="669"/>
      <c r="D201" s="669"/>
      <c r="E201" s="669"/>
      <c r="F201" s="669"/>
      <c r="G201" s="669"/>
      <c r="H201" s="669"/>
      <c r="I201" s="669"/>
      <c r="J201" s="669"/>
      <c r="K201" s="669"/>
      <c r="L201" s="669"/>
      <c r="M201" s="670"/>
      <c r="N201" s="147"/>
    </row>
    <row r="202" spans="2:17" x14ac:dyDescent="0.25">
      <c r="B202" s="37" t="s">
        <v>133</v>
      </c>
      <c r="C202" s="38"/>
      <c r="D202" s="130"/>
      <c r="E202" s="131"/>
      <c r="F202" s="649" t="s">
        <v>141</v>
      </c>
      <c r="G202" s="680"/>
      <c r="H202" s="39"/>
      <c r="I202" s="41"/>
      <c r="J202" s="40"/>
      <c r="K202" s="133"/>
      <c r="L202" s="41"/>
      <c r="M202" s="42"/>
    </row>
    <row r="203" spans="2:17" ht="115.5" x14ac:dyDescent="0.25">
      <c r="B203" s="27" t="s">
        <v>12</v>
      </c>
      <c r="C203" s="44" t="s">
        <v>319</v>
      </c>
      <c r="D203" s="44">
        <v>2022</v>
      </c>
      <c r="E203" s="44">
        <v>2023</v>
      </c>
      <c r="F203" s="681"/>
      <c r="G203" s="682"/>
      <c r="H203" s="148">
        <f>H204</f>
        <v>369987.37375999999</v>
      </c>
      <c r="I203" s="29">
        <f>SUM(I204)</f>
        <v>79600</v>
      </c>
      <c r="J203" s="29">
        <f>SUM(J204)</f>
        <v>149100</v>
      </c>
      <c r="K203" s="29">
        <f>SUM(K204)</f>
        <v>27015.85859</v>
      </c>
      <c r="L203" s="29">
        <f>SUM(L204)</f>
        <v>23780.909100000001</v>
      </c>
      <c r="M203" s="30">
        <f>SUM(M204)</f>
        <v>90490.606070000009</v>
      </c>
      <c r="N203" s="149"/>
      <c r="O203" s="149"/>
      <c r="P203" s="9"/>
      <c r="Q203" s="149"/>
    </row>
    <row r="204" spans="2:17" ht="51" customHeight="1" x14ac:dyDescent="0.25">
      <c r="B204" s="33" t="s">
        <v>34</v>
      </c>
      <c r="C204" s="49"/>
      <c r="D204" s="146"/>
      <c r="E204" s="107"/>
      <c r="F204" s="150"/>
      <c r="G204" s="49"/>
      <c r="H204" s="84">
        <f>SUM(I204:M204)</f>
        <v>369987.37375999999</v>
      </c>
      <c r="I204" s="67">
        <f>SUM(I207:I209)</f>
        <v>79600</v>
      </c>
      <c r="J204" s="67">
        <f>SUM(J207:J209)</f>
        <v>149100</v>
      </c>
      <c r="K204" s="67">
        <f>SUM(K207:K209)</f>
        <v>27015.85859</v>
      </c>
      <c r="L204" s="67">
        <f>SUM(L207:L209)</f>
        <v>23780.909100000001</v>
      </c>
      <c r="M204" s="68">
        <f>SUM(M207:M209)</f>
        <v>90490.606070000009</v>
      </c>
      <c r="O204" s="149"/>
      <c r="P204" s="9"/>
    </row>
    <row r="205" spans="2:17" hidden="1" outlineLevel="1" x14ac:dyDescent="0.25">
      <c r="B205" s="135" t="s">
        <v>28</v>
      </c>
      <c r="C205" s="49"/>
      <c r="D205" s="146"/>
      <c r="E205" s="107"/>
      <c r="F205" s="150"/>
      <c r="G205" s="49"/>
      <c r="H205" s="84"/>
      <c r="I205" s="67"/>
      <c r="J205" s="66"/>
      <c r="K205" s="84"/>
      <c r="L205" s="67"/>
      <c r="M205" s="68"/>
      <c r="O205" s="149"/>
      <c r="P205" s="9"/>
    </row>
    <row r="206" spans="2:17" ht="17.25" collapsed="1" x14ac:dyDescent="0.25">
      <c r="B206" s="72" t="s">
        <v>16</v>
      </c>
      <c r="C206" s="49"/>
      <c r="D206" s="146"/>
      <c r="E206" s="107"/>
      <c r="F206" s="150"/>
      <c r="G206" s="49"/>
      <c r="H206" s="84"/>
      <c r="I206" s="677"/>
      <c r="J206" s="678"/>
      <c r="K206" s="678"/>
      <c r="L206" s="678"/>
      <c r="M206" s="679"/>
      <c r="O206" s="149"/>
      <c r="P206" s="9"/>
    </row>
    <row r="207" spans="2:17" x14ac:dyDescent="0.25">
      <c r="B207" s="33" t="s">
        <v>77</v>
      </c>
      <c r="C207" s="49"/>
      <c r="D207" s="146"/>
      <c r="E207" s="107"/>
      <c r="F207" s="150"/>
      <c r="G207" s="49"/>
      <c r="H207" s="84">
        <f>SUM(I207:M207)</f>
        <v>245652.20000000004</v>
      </c>
      <c r="I207" s="67">
        <v>72831.3</v>
      </c>
      <c r="J207" s="67">
        <v>42407.9</v>
      </c>
      <c r="K207" s="67">
        <v>26478.2</v>
      </c>
      <c r="L207" s="67">
        <v>23307.7</v>
      </c>
      <c r="M207" s="68">
        <v>80627.100000000006</v>
      </c>
      <c r="O207" s="149"/>
      <c r="P207" s="9"/>
    </row>
    <row r="208" spans="2:17" x14ac:dyDescent="0.25">
      <c r="B208" s="33" t="s">
        <v>9</v>
      </c>
      <c r="C208" s="49"/>
      <c r="D208" s="146"/>
      <c r="E208" s="107"/>
      <c r="F208" s="150"/>
      <c r="G208" s="49"/>
      <c r="H208" s="84">
        <f>SUM(I208:M208)</f>
        <v>122922.3</v>
      </c>
      <c r="I208" s="67">
        <v>6768.7</v>
      </c>
      <c r="J208" s="67">
        <f>37192.1+69500</f>
        <v>106692.1</v>
      </c>
      <c r="K208" s="67">
        <f>267500/1000</f>
        <v>267.5</v>
      </c>
      <c r="L208" s="67">
        <v>235.4</v>
      </c>
      <c r="M208" s="68">
        <v>8958.6</v>
      </c>
      <c r="O208" s="149"/>
      <c r="P208" s="9"/>
    </row>
    <row r="209" spans="2:16" x14ac:dyDescent="0.25">
      <c r="B209" s="33" t="s">
        <v>10</v>
      </c>
      <c r="C209" s="146"/>
      <c r="D209" s="146"/>
      <c r="E209" s="49"/>
      <c r="F209" s="50"/>
      <c r="G209" s="146"/>
      <c r="H209" s="84">
        <f>SUM(I209:M209)</f>
        <v>1412.8737599999999</v>
      </c>
      <c r="I209" s="67">
        <v>0</v>
      </c>
      <c r="J209" s="67">
        <v>0</v>
      </c>
      <c r="K209" s="67">
        <v>270.15859</v>
      </c>
      <c r="L209" s="67">
        <v>237.8091</v>
      </c>
      <c r="M209" s="68">
        <v>904.90607</v>
      </c>
      <c r="O209" s="149"/>
      <c r="P209" s="9"/>
    </row>
    <row r="210" spans="2:16" ht="17.25" x14ac:dyDescent="0.25">
      <c r="B210" s="692"/>
      <c r="C210" s="669"/>
      <c r="D210" s="669"/>
      <c r="E210" s="669"/>
      <c r="F210" s="669"/>
      <c r="G210" s="669"/>
      <c r="H210" s="669"/>
      <c r="I210" s="669"/>
      <c r="J210" s="669"/>
      <c r="K210" s="669"/>
      <c r="L210" s="669"/>
      <c r="M210" s="670"/>
      <c r="O210" s="149"/>
      <c r="P210" s="9"/>
    </row>
    <row r="211" spans="2:16" x14ac:dyDescent="0.25">
      <c r="B211" s="37" t="s">
        <v>184</v>
      </c>
      <c r="C211" s="38"/>
      <c r="D211" s="130"/>
      <c r="E211" s="131"/>
      <c r="F211" s="716"/>
      <c r="G211" s="650"/>
      <c r="H211" s="40"/>
      <c r="I211" s="133"/>
      <c r="J211" s="41"/>
      <c r="K211" s="39"/>
      <c r="L211" s="41"/>
      <c r="M211" s="151"/>
    </row>
    <row r="212" spans="2:16" ht="59.25" customHeight="1" x14ac:dyDescent="0.25">
      <c r="B212" s="43" t="s">
        <v>11</v>
      </c>
      <c r="C212" s="644" t="s">
        <v>727</v>
      </c>
      <c r="D212" s="44">
        <v>2022</v>
      </c>
      <c r="E212" s="44">
        <v>2026</v>
      </c>
      <c r="F212" s="651"/>
      <c r="G212" s="652"/>
      <c r="H212" s="152">
        <f>SUM(I212:M212)</f>
        <v>32992.625690000001</v>
      </c>
      <c r="I212" s="152">
        <f>SUM(I213:I220)</f>
        <v>7042.6256899999998</v>
      </c>
      <c r="J212" s="152">
        <f>SUM(J213:J220)</f>
        <v>0</v>
      </c>
      <c r="K212" s="152">
        <f>SUM(K213:K222)</f>
        <v>600</v>
      </c>
      <c r="L212" s="152">
        <f>SUM(L213:L220)</f>
        <v>25350</v>
      </c>
      <c r="M212" s="30">
        <f>SUM(M213:M220)</f>
        <v>0</v>
      </c>
      <c r="N212" s="10"/>
    </row>
    <row r="213" spans="2:16" s="141" customFormat="1" ht="17.25" x14ac:dyDescent="0.25">
      <c r="B213" s="33" t="s">
        <v>313</v>
      </c>
      <c r="C213" s="715"/>
      <c r="D213" s="153"/>
      <c r="E213" s="154"/>
      <c r="F213" s="155"/>
      <c r="G213" s="156"/>
      <c r="H213" s="84">
        <f t="shared" ref="H213:H227" si="13">SUM(I213:M213)</f>
        <v>1758.8771999999999</v>
      </c>
      <c r="I213" s="69">
        <v>1758.8771999999999</v>
      </c>
      <c r="J213" s="69">
        <v>0</v>
      </c>
      <c r="K213" s="69">
        <v>0</v>
      </c>
      <c r="L213" s="69">
        <v>0</v>
      </c>
      <c r="M213" s="94">
        <v>0</v>
      </c>
      <c r="N213" s="143"/>
    </row>
    <row r="214" spans="2:16" s="141" customFormat="1" ht="33" x14ac:dyDescent="0.25">
      <c r="B214" s="135" t="s">
        <v>251</v>
      </c>
      <c r="C214" s="715"/>
      <c r="D214" s="146"/>
      <c r="E214" s="107"/>
      <c r="F214" s="50"/>
      <c r="G214" s="125"/>
      <c r="H214" s="84">
        <f t="shared" si="13"/>
        <v>576.50667999999996</v>
      </c>
      <c r="I214" s="69">
        <v>576.50667999999996</v>
      </c>
      <c r="J214" s="69">
        <v>0</v>
      </c>
      <c r="K214" s="69">
        <v>0</v>
      </c>
      <c r="L214" s="69">
        <v>0</v>
      </c>
      <c r="M214" s="94">
        <v>0</v>
      </c>
      <c r="N214" s="157"/>
      <c r="O214" s="158"/>
    </row>
    <row r="215" spans="2:16" s="141" customFormat="1" ht="33" x14ac:dyDescent="0.25">
      <c r="B215" s="135" t="s">
        <v>252</v>
      </c>
      <c r="C215" s="715"/>
      <c r="D215" s="146"/>
      <c r="E215" s="107"/>
      <c r="F215" s="50"/>
      <c r="G215" s="125"/>
      <c r="H215" s="84">
        <f t="shared" si="13"/>
        <v>863.57280000000003</v>
      </c>
      <c r="I215" s="69">
        <v>863.57280000000003</v>
      </c>
      <c r="J215" s="69">
        <v>0</v>
      </c>
      <c r="K215" s="69">
        <v>0</v>
      </c>
      <c r="L215" s="69">
        <v>0</v>
      </c>
      <c r="M215" s="94">
        <v>0</v>
      </c>
      <c r="N215" s="143"/>
    </row>
    <row r="216" spans="2:16" s="101" customFormat="1" x14ac:dyDescent="0.25">
      <c r="B216" s="135" t="s">
        <v>312</v>
      </c>
      <c r="C216" s="715"/>
      <c r="D216" s="146"/>
      <c r="E216" s="107"/>
      <c r="F216" s="50"/>
      <c r="G216" s="125"/>
      <c r="H216" s="84">
        <f t="shared" si="13"/>
        <v>1361.5830000000001</v>
      </c>
      <c r="I216" s="69">
        <v>1361.5830000000001</v>
      </c>
      <c r="J216" s="69">
        <v>0</v>
      </c>
      <c r="K216" s="69">
        <v>0</v>
      </c>
      <c r="L216" s="69">
        <v>0</v>
      </c>
      <c r="M216" s="94">
        <v>0</v>
      </c>
      <c r="N216" s="143"/>
    </row>
    <row r="217" spans="2:16" s="101" customFormat="1" ht="49.5" x14ac:dyDescent="0.25">
      <c r="B217" s="135" t="s">
        <v>295</v>
      </c>
      <c r="C217" s="715"/>
      <c r="D217" s="146"/>
      <c r="E217" s="107"/>
      <c r="F217" s="50"/>
      <c r="G217" s="125"/>
      <c r="H217" s="84">
        <f>SUM(J217:M217)</f>
        <v>600</v>
      </c>
      <c r="I217" s="69">
        <v>0</v>
      </c>
      <c r="J217" s="69">
        <v>0</v>
      </c>
      <c r="K217" s="69">
        <v>600</v>
      </c>
      <c r="L217" s="67">
        <v>0</v>
      </c>
      <c r="M217" s="68">
        <v>0</v>
      </c>
      <c r="N217" s="104"/>
    </row>
    <row r="218" spans="2:16" s="141" customFormat="1" ht="49.5" x14ac:dyDescent="0.25">
      <c r="B218" s="33" t="s">
        <v>391</v>
      </c>
      <c r="C218" s="715"/>
      <c r="D218" s="146"/>
      <c r="E218" s="107"/>
      <c r="F218" s="50"/>
      <c r="G218" s="125"/>
      <c r="H218" s="84">
        <f t="shared" si="13"/>
        <v>2443.9362099999998</v>
      </c>
      <c r="I218" s="69">
        <v>2443.9362099999998</v>
      </c>
      <c r="J218" s="69">
        <v>0</v>
      </c>
      <c r="K218" s="67">
        <v>0</v>
      </c>
      <c r="L218" s="67">
        <v>0</v>
      </c>
      <c r="M218" s="68">
        <v>0</v>
      </c>
      <c r="N218" s="143"/>
    </row>
    <row r="219" spans="2:16" s="141" customFormat="1" x14ac:dyDescent="0.25">
      <c r="B219" s="135" t="s">
        <v>393</v>
      </c>
      <c r="C219" s="715"/>
      <c r="D219" s="146"/>
      <c r="E219" s="107"/>
      <c r="F219" s="50"/>
      <c r="G219" s="125"/>
      <c r="H219" s="84">
        <f t="shared" si="13"/>
        <v>38.149799999999999</v>
      </c>
      <c r="I219" s="69">
        <v>38.149799999999999</v>
      </c>
      <c r="J219" s="69">
        <v>0</v>
      </c>
      <c r="K219" s="67">
        <v>0</v>
      </c>
      <c r="L219" s="67">
        <v>0</v>
      </c>
      <c r="M219" s="68">
        <v>0</v>
      </c>
      <c r="N219" s="143"/>
    </row>
    <row r="220" spans="2:16" s="101" customFormat="1" ht="33" x14ac:dyDescent="0.25">
      <c r="B220" s="135" t="s">
        <v>249</v>
      </c>
      <c r="C220" s="715"/>
      <c r="D220" s="146"/>
      <c r="E220" s="107"/>
      <c r="F220" s="50"/>
      <c r="G220" s="125">
        <v>2.2799999999999998</v>
      </c>
      <c r="H220" s="84">
        <f t="shared" si="13"/>
        <v>25350</v>
      </c>
      <c r="I220" s="69">
        <v>0</v>
      </c>
      <c r="J220" s="69">
        <v>0</v>
      </c>
      <c r="K220" s="67">
        <v>0</v>
      </c>
      <c r="L220" s="67">
        <f>24300+1050</f>
        <v>25350</v>
      </c>
      <c r="M220" s="68">
        <v>0</v>
      </c>
      <c r="N220" s="159"/>
    </row>
    <row r="221" spans="2:16" ht="17.25" hidden="1" customHeight="1" outlineLevel="1" x14ac:dyDescent="0.25">
      <c r="B221" s="72" t="s">
        <v>414</v>
      </c>
      <c r="C221" s="715"/>
      <c r="D221" s="146"/>
      <c r="E221" s="107"/>
      <c r="F221" s="50"/>
      <c r="G221" s="125"/>
      <c r="H221" s="84">
        <f t="shared" si="13"/>
        <v>0</v>
      </c>
      <c r="I221" s="69"/>
      <c r="J221" s="69"/>
      <c r="K221" s="67"/>
      <c r="L221" s="67"/>
      <c r="M221" s="68"/>
    </row>
    <row r="222" spans="2:16" ht="16.5" hidden="1" customHeight="1" outlineLevel="1" x14ac:dyDescent="0.25">
      <c r="B222" s="135" t="s">
        <v>415</v>
      </c>
      <c r="C222" s="715"/>
      <c r="D222" s="146"/>
      <c r="E222" s="107"/>
      <c r="F222" s="50"/>
      <c r="G222" s="125"/>
      <c r="H222" s="84">
        <f t="shared" si="13"/>
        <v>0</v>
      </c>
      <c r="I222" s="69"/>
      <c r="J222" s="69">
        <f>300-300</f>
        <v>0</v>
      </c>
      <c r="K222" s="67"/>
      <c r="L222" s="67"/>
      <c r="M222" s="68"/>
    </row>
    <row r="223" spans="2:16" ht="33" hidden="1" outlineLevel="1" x14ac:dyDescent="0.25">
      <c r="B223" s="135" t="s">
        <v>420</v>
      </c>
      <c r="C223" s="49"/>
      <c r="D223" s="146"/>
      <c r="E223" s="107"/>
      <c r="F223" s="50"/>
      <c r="G223" s="125"/>
      <c r="H223" s="84"/>
      <c r="I223" s="69"/>
      <c r="J223" s="69"/>
      <c r="K223" s="67"/>
      <c r="L223" s="67"/>
      <c r="M223" s="68"/>
    </row>
    <row r="224" spans="2:16" ht="33" hidden="1" outlineLevel="1" x14ac:dyDescent="0.25">
      <c r="B224" s="135" t="s">
        <v>416</v>
      </c>
      <c r="C224" s="49"/>
      <c r="D224" s="146"/>
      <c r="E224" s="107"/>
      <c r="F224" s="50"/>
      <c r="G224" s="125"/>
      <c r="H224" s="84"/>
      <c r="I224" s="69"/>
      <c r="J224" s="69"/>
      <c r="K224" s="67"/>
      <c r="L224" s="67"/>
      <c r="M224" s="68"/>
    </row>
    <row r="225" spans="2:15" ht="17.25" collapsed="1" x14ac:dyDescent="0.25">
      <c r="B225" s="72" t="s">
        <v>16</v>
      </c>
      <c r="C225" s="146"/>
      <c r="D225" s="146"/>
      <c r="E225" s="49"/>
      <c r="F225" s="50"/>
      <c r="G225" s="125"/>
      <c r="H225" s="84"/>
      <c r="I225" s="69"/>
      <c r="J225" s="69"/>
      <c r="K225" s="67"/>
      <c r="L225" s="67"/>
      <c r="M225" s="68"/>
      <c r="O225" s="101"/>
    </row>
    <row r="226" spans="2:15" x14ac:dyDescent="0.25">
      <c r="B226" s="33" t="s">
        <v>77</v>
      </c>
      <c r="C226" s="146"/>
      <c r="D226" s="146"/>
      <c r="E226" s="49"/>
      <c r="F226" s="50"/>
      <c r="G226" s="146"/>
      <c r="H226" s="84">
        <f t="shared" si="13"/>
        <v>0</v>
      </c>
      <c r="I226" s="69">
        <v>0</v>
      </c>
      <c r="J226" s="69">
        <v>0</v>
      </c>
      <c r="K226" s="69">
        <v>0</v>
      </c>
      <c r="L226" s="69">
        <v>0</v>
      </c>
      <c r="M226" s="94">
        <v>0</v>
      </c>
      <c r="O226" s="101"/>
    </row>
    <row r="227" spans="2:15" x14ac:dyDescent="0.25">
      <c r="B227" s="33" t="s">
        <v>9</v>
      </c>
      <c r="C227" s="146"/>
      <c r="D227" s="146"/>
      <c r="E227" s="49"/>
      <c r="F227" s="50"/>
      <c r="G227" s="146"/>
      <c r="H227" s="84">
        <f t="shared" si="13"/>
        <v>0</v>
      </c>
      <c r="I227" s="69">
        <v>0</v>
      </c>
      <c r="J227" s="69">
        <v>0</v>
      </c>
      <c r="K227" s="69">
        <v>0</v>
      </c>
      <c r="L227" s="69">
        <v>0</v>
      </c>
      <c r="M227" s="94">
        <v>0</v>
      </c>
    </row>
    <row r="228" spans="2:15" x14ac:dyDescent="0.25">
      <c r="B228" s="33" t="s">
        <v>10</v>
      </c>
      <c r="C228" s="125"/>
      <c r="D228" s="125"/>
      <c r="E228" s="160"/>
      <c r="F228" s="126"/>
      <c r="G228" s="125"/>
      <c r="H228" s="84">
        <f>SUM(I228:M228)</f>
        <v>33781.9</v>
      </c>
      <c r="I228" s="69">
        <f>189.3+1440.1+5602.5+600</f>
        <v>7831.9</v>
      </c>
      <c r="J228" s="69">
        <v>0</v>
      </c>
      <c r="K228" s="69">
        <f>'перечень объектов'!C261</f>
        <v>600</v>
      </c>
      <c r="L228" s="69">
        <f>24300+1050</f>
        <v>25350</v>
      </c>
      <c r="M228" s="94">
        <v>0</v>
      </c>
    </row>
    <row r="229" spans="2:15" x14ac:dyDescent="0.25">
      <c r="B229" s="161"/>
      <c r="C229" s="130"/>
      <c r="D229" s="130"/>
      <c r="E229" s="38"/>
      <c r="F229" s="162"/>
      <c r="G229" s="130"/>
      <c r="H229" s="41"/>
      <c r="I229" s="41"/>
      <c r="J229" s="41"/>
      <c r="K229" s="41"/>
      <c r="L229" s="41"/>
      <c r="M229" s="42"/>
    </row>
    <row r="230" spans="2:15" x14ac:dyDescent="0.25">
      <c r="B230" s="37" t="s">
        <v>188</v>
      </c>
      <c r="C230" s="683" t="s">
        <v>320</v>
      </c>
      <c r="D230" s="38"/>
      <c r="E230" s="38"/>
      <c r="F230" s="649"/>
      <c r="G230" s="680"/>
      <c r="H230" s="39"/>
      <c r="I230" s="41"/>
      <c r="J230" s="39"/>
      <c r="K230" s="39"/>
      <c r="L230" s="39"/>
      <c r="M230" s="151"/>
    </row>
    <row r="231" spans="2:15" ht="33" customHeight="1" x14ac:dyDescent="0.25">
      <c r="B231" s="43" t="s">
        <v>138</v>
      </c>
      <c r="C231" s="684"/>
      <c r="D231" s="44">
        <v>2022</v>
      </c>
      <c r="E231" s="44">
        <v>2025</v>
      </c>
      <c r="F231" s="681"/>
      <c r="G231" s="682"/>
      <c r="H231" s="45">
        <f t="shared" ref="H231:M231" si="14">SUM(H232:H232)</f>
        <v>2002185.3086558601</v>
      </c>
      <c r="I231" s="29">
        <f t="shared" si="14"/>
        <v>483049.76001000003</v>
      </c>
      <c r="J231" s="29">
        <f t="shared" si="14"/>
        <v>1518965.3725858601</v>
      </c>
      <c r="K231" s="29">
        <f t="shared" si="14"/>
        <v>170.17606000000001</v>
      </c>
      <c r="L231" s="29">
        <f t="shared" si="14"/>
        <v>0</v>
      </c>
      <c r="M231" s="30">
        <f t="shared" si="14"/>
        <v>0</v>
      </c>
    </row>
    <row r="232" spans="2:15" x14ac:dyDescent="0.25">
      <c r="B232" s="33" t="s">
        <v>76</v>
      </c>
      <c r="C232" s="684"/>
      <c r="D232" s="49"/>
      <c r="E232" s="49"/>
      <c r="F232" s="50"/>
      <c r="G232" s="51"/>
      <c r="H232" s="65">
        <f>SUM(I232:M232)</f>
        <v>2002185.3086558601</v>
      </c>
      <c r="I232" s="69">
        <f>I234+I236+I235</f>
        <v>483049.76001000003</v>
      </c>
      <c r="J232" s="69">
        <f>J234+J236+J235</f>
        <v>1518965.3725858601</v>
      </c>
      <c r="K232" s="69">
        <v>170.17606000000001</v>
      </c>
      <c r="L232" s="69">
        <v>0</v>
      </c>
      <c r="M232" s="94">
        <v>0</v>
      </c>
    </row>
    <row r="233" spans="2:15" ht="17.25" x14ac:dyDescent="0.25">
      <c r="B233" s="72" t="s">
        <v>16</v>
      </c>
      <c r="C233" s="125"/>
      <c r="D233" s="125"/>
      <c r="E233" s="160"/>
      <c r="F233" s="126"/>
      <c r="G233" s="125"/>
      <c r="H233" s="69"/>
      <c r="I233" s="69"/>
      <c r="J233" s="69"/>
      <c r="K233" s="69"/>
      <c r="L233" s="69"/>
      <c r="M233" s="94"/>
    </row>
    <row r="234" spans="2:15" x14ac:dyDescent="0.25">
      <c r="B234" s="33" t="s">
        <v>77</v>
      </c>
      <c r="C234" s="125"/>
      <c r="D234" s="125"/>
      <c r="E234" s="160"/>
      <c r="F234" s="126"/>
      <c r="G234" s="125"/>
      <c r="H234" s="69">
        <f>SUM(I234:M234)</f>
        <v>1876816.5600100001</v>
      </c>
      <c r="I234" s="69">
        <f>332189.3+45725.46001</f>
        <v>377914.76000999997</v>
      </c>
      <c r="J234" s="69">
        <f>395980+387389+665532.8+50000</f>
        <v>1498901.8</v>
      </c>
      <c r="K234" s="69">
        <v>0</v>
      </c>
      <c r="L234" s="69">
        <v>0</v>
      </c>
      <c r="M234" s="70">
        <v>0</v>
      </c>
      <c r="N234" s="163"/>
    </row>
    <row r="235" spans="2:15" x14ac:dyDescent="0.25">
      <c r="B235" s="33" t="s">
        <v>78</v>
      </c>
      <c r="C235" s="125"/>
      <c r="D235" s="125"/>
      <c r="E235" s="160"/>
      <c r="F235" s="126"/>
      <c r="G235" s="125"/>
      <c r="H235" s="69">
        <f>SUM(I235:M235)</f>
        <v>104873.91885999998</v>
      </c>
      <c r="I235" s="69">
        <f>100000</f>
        <v>100000</v>
      </c>
      <c r="J235" s="69">
        <f>640263.5+203397+112583-143.19533-951226.38581</f>
        <v>4873.9188599999761</v>
      </c>
      <c r="K235" s="69">
        <f>395980-203397-112583+143.19533-80143.19533</f>
        <v>0</v>
      </c>
      <c r="L235" s="69">
        <v>0</v>
      </c>
      <c r="M235" s="70">
        <v>0</v>
      </c>
      <c r="N235" s="163"/>
    </row>
    <row r="236" spans="2:15" x14ac:dyDescent="0.25">
      <c r="B236" s="33" t="s">
        <v>10</v>
      </c>
      <c r="C236" s="125"/>
      <c r="D236" s="125"/>
      <c r="E236" s="160"/>
      <c r="F236" s="126"/>
      <c r="G236" s="125"/>
      <c r="H236" s="69">
        <f>SUM(I236:M236)</f>
        <v>20494.829785858565</v>
      </c>
      <c r="I236" s="69">
        <v>5135</v>
      </c>
      <c r="J236" s="69">
        <f>(J234/0.99-J234)+(J235/0.99-J235)</f>
        <v>15189.653725858563</v>
      </c>
      <c r="K236" s="69">
        <f>K232</f>
        <v>170.17606000000001</v>
      </c>
      <c r="L236" s="69">
        <v>0</v>
      </c>
      <c r="M236" s="70">
        <v>0</v>
      </c>
      <c r="N236" s="164"/>
    </row>
    <row r="237" spans="2:15" ht="17.25" x14ac:dyDescent="0.25">
      <c r="B237" s="692"/>
      <c r="C237" s="669"/>
      <c r="D237" s="669"/>
      <c r="E237" s="669"/>
      <c r="F237" s="736"/>
      <c r="G237" s="736"/>
      <c r="H237" s="669"/>
      <c r="I237" s="669"/>
      <c r="J237" s="669"/>
      <c r="K237" s="669"/>
      <c r="L237" s="669"/>
      <c r="M237" s="670"/>
      <c r="N237" s="164"/>
    </row>
    <row r="238" spans="2:15" ht="16.5" customHeight="1" x14ac:dyDescent="0.25">
      <c r="B238" s="165" t="s">
        <v>293</v>
      </c>
      <c r="C238" s="685" t="s">
        <v>730</v>
      </c>
      <c r="D238" s="166"/>
      <c r="E238" s="75"/>
      <c r="F238" s="717" t="s">
        <v>877</v>
      </c>
      <c r="G238" s="650"/>
      <c r="H238" s="77"/>
      <c r="I238" s="78"/>
      <c r="J238" s="78"/>
      <c r="K238" s="77"/>
      <c r="L238" s="77"/>
      <c r="M238" s="79"/>
      <c r="N238" s="164"/>
      <c r="O238" s="9"/>
    </row>
    <row r="239" spans="2:15" ht="54" customHeight="1" x14ac:dyDescent="0.25">
      <c r="B239" s="665" t="s">
        <v>294</v>
      </c>
      <c r="C239" s="686"/>
      <c r="D239" s="671">
        <v>2022</v>
      </c>
      <c r="E239" s="671">
        <v>2026</v>
      </c>
      <c r="F239" s="718"/>
      <c r="G239" s="697"/>
      <c r="H239" s="674">
        <f>SUM(H242:H390)</f>
        <v>3014154.4732489176</v>
      </c>
      <c r="I239" s="674">
        <f>SUM(I242:I390)</f>
        <v>133136.90280021049</v>
      </c>
      <c r="J239" s="674">
        <f>SUM(J242:J390)</f>
        <v>315873.19284999982</v>
      </c>
      <c r="K239" s="674">
        <f>SUM(K242:K390)-0.00001</f>
        <v>627136.56949288305</v>
      </c>
      <c r="L239" s="674">
        <f>SUM(L242:L390)</f>
        <v>353350.7070758249</v>
      </c>
      <c r="M239" s="711">
        <f>M254+M389</f>
        <v>104957.10101</v>
      </c>
      <c r="N239" s="10"/>
      <c r="O239" s="9"/>
    </row>
    <row r="240" spans="2:15" ht="18.75" customHeight="1" x14ac:dyDescent="0.25">
      <c r="B240" s="666"/>
      <c r="C240" s="686"/>
      <c r="D240" s="672"/>
      <c r="E240" s="672"/>
      <c r="F240" s="167">
        <f>SUM(F242:F390)</f>
        <v>509373</v>
      </c>
      <c r="G240" s="168" t="s">
        <v>417</v>
      </c>
      <c r="H240" s="675"/>
      <c r="I240" s="675"/>
      <c r="J240" s="675"/>
      <c r="K240" s="675"/>
      <c r="L240" s="675"/>
      <c r="M240" s="712"/>
      <c r="N240" s="169"/>
    </row>
    <row r="241" spans="2:15" ht="18.75" customHeight="1" x14ac:dyDescent="0.25">
      <c r="B241" s="667"/>
      <c r="C241" s="687"/>
      <c r="D241" s="673"/>
      <c r="E241" s="673"/>
      <c r="F241" s="170">
        <f>SUM(G242:G390)</f>
        <v>92.118300000000048</v>
      </c>
      <c r="G241" s="171" t="s">
        <v>418</v>
      </c>
      <c r="H241" s="676"/>
      <c r="I241" s="676"/>
      <c r="J241" s="676"/>
      <c r="K241" s="676"/>
      <c r="L241" s="676"/>
      <c r="M241" s="713"/>
    </row>
    <row r="242" spans="2:15" ht="82.5" hidden="1" x14ac:dyDescent="0.25">
      <c r="B242" s="33" t="s">
        <v>304</v>
      </c>
      <c r="C242" s="125"/>
      <c r="D242" s="172"/>
      <c r="E242" s="173"/>
      <c r="F242" s="86">
        <f>1480*8-11840</f>
        <v>0</v>
      </c>
      <c r="G242" s="88">
        <f>1.48-1.48</f>
        <v>0</v>
      </c>
      <c r="H242" s="84">
        <f t="shared" ref="H242:H249" si="15">SUM(I242:M242)</f>
        <v>0</v>
      </c>
      <c r="I242" s="69">
        <f>30430.2076-30430.2076</f>
        <v>0</v>
      </c>
      <c r="J242" s="69">
        <f>169732.91-169732.91</f>
        <v>0</v>
      </c>
      <c r="K242" s="69">
        <v>0</v>
      </c>
      <c r="L242" s="69">
        <v>0</v>
      </c>
      <c r="M242" s="94">
        <v>0</v>
      </c>
    </row>
    <row r="243" spans="2:15" ht="33" x14ac:dyDescent="0.25">
      <c r="B243" s="33" t="s">
        <v>296</v>
      </c>
      <c r="C243" s="125"/>
      <c r="D243" s="125"/>
      <c r="E243" s="174"/>
      <c r="F243" s="175">
        <f>928*8</f>
        <v>7424</v>
      </c>
      <c r="G243" s="125">
        <v>0.94</v>
      </c>
      <c r="H243" s="84">
        <f t="shared" si="15"/>
        <v>67306.476559999996</v>
      </c>
      <c r="I243" s="69">
        <v>53978.952089999999</v>
      </c>
      <c r="J243" s="69">
        <v>13327.52447</v>
      </c>
      <c r="K243" s="69">
        <v>0</v>
      </c>
      <c r="L243" s="69">
        <v>0</v>
      </c>
      <c r="M243" s="94">
        <v>0</v>
      </c>
      <c r="N243" s="10"/>
    </row>
    <row r="244" spans="2:15" ht="33" x14ac:dyDescent="0.25">
      <c r="B244" s="33" t="s">
        <v>440</v>
      </c>
      <c r="C244" s="125"/>
      <c r="D244" s="125"/>
      <c r="E244" s="174"/>
      <c r="F244" s="115">
        <f>340*7</f>
        <v>2380</v>
      </c>
      <c r="G244" s="51">
        <v>0.32200000000000001</v>
      </c>
      <c r="H244" s="84">
        <f t="shared" si="15"/>
        <v>12621.01945</v>
      </c>
      <c r="I244" s="69">
        <v>0</v>
      </c>
      <c r="J244" s="61">
        <v>12621.01945</v>
      </c>
      <c r="K244" s="69">
        <v>0</v>
      </c>
      <c r="L244" s="69">
        <v>0</v>
      </c>
      <c r="M244" s="94">
        <v>0</v>
      </c>
      <c r="N244" s="10"/>
    </row>
    <row r="245" spans="2:15" ht="33" x14ac:dyDescent="0.25">
      <c r="B245" s="33" t="s">
        <v>298</v>
      </c>
      <c r="C245" s="125"/>
      <c r="D245" s="125"/>
      <c r="E245" s="176"/>
      <c r="F245" s="86">
        <f>1160*8</f>
        <v>9280</v>
      </c>
      <c r="G245" s="88">
        <v>1.2</v>
      </c>
      <c r="H245" s="69">
        <f t="shared" si="15"/>
        <v>19064.628000000001</v>
      </c>
      <c r="I245" s="61">
        <f>9931.6025-9931.6025</f>
        <v>0</v>
      </c>
      <c r="J245" s="69">
        <v>19064.628000000001</v>
      </c>
      <c r="K245" s="69">
        <v>0</v>
      </c>
      <c r="L245" s="61">
        <v>0</v>
      </c>
      <c r="M245" s="94">
        <v>0</v>
      </c>
      <c r="N245" s="10"/>
    </row>
    <row r="246" spans="2:15" ht="33" x14ac:dyDescent="0.25">
      <c r="B246" s="33" t="s">
        <v>412</v>
      </c>
      <c r="C246" s="125"/>
      <c r="D246" s="125"/>
      <c r="E246" s="176"/>
      <c r="F246" s="86">
        <f>1380*8</f>
        <v>11040</v>
      </c>
      <c r="G246" s="88">
        <v>1.38</v>
      </c>
      <c r="H246" s="69">
        <f t="shared" si="15"/>
        <v>18412.254913684199</v>
      </c>
      <c r="I246" s="61">
        <f>12329.9016136842+1329.17719+53.16709+2.68521+0.10849+0.00434+0.00022+0.00001-8703.866+366.47857+5719.3884-11097.04513</f>
        <v>3.6841993278358132E-6</v>
      </c>
      <c r="J246" s="69">
        <v>18412.25491</v>
      </c>
      <c r="K246" s="69">
        <v>0</v>
      </c>
      <c r="L246" s="61">
        <v>0</v>
      </c>
      <c r="M246" s="94">
        <v>0</v>
      </c>
    </row>
    <row r="247" spans="2:15" ht="33" x14ac:dyDescent="0.25">
      <c r="B247" s="33" t="s">
        <v>297</v>
      </c>
      <c r="C247" s="125"/>
      <c r="D247" s="125"/>
      <c r="E247" s="176"/>
      <c r="F247" s="115">
        <f>878*8</f>
        <v>7024</v>
      </c>
      <c r="G247" s="177">
        <v>0.878</v>
      </c>
      <c r="H247" s="69">
        <f t="shared" si="15"/>
        <v>19125.659763684198</v>
      </c>
      <c r="I247" s="61">
        <f>12329.9016136842+1329.17719+53.16709+2.68521+0.10849+0.00434+0.00022+0.00001-8703.866+366.47857+5719.3884-11097.04513</f>
        <v>3.6841993278358132E-6</v>
      </c>
      <c r="J247" s="69">
        <v>19125.659759999999</v>
      </c>
      <c r="K247" s="69">
        <v>0</v>
      </c>
      <c r="L247" s="61">
        <v>0</v>
      </c>
      <c r="M247" s="94">
        <v>0</v>
      </c>
      <c r="N247" s="10"/>
    </row>
    <row r="248" spans="2:15" ht="49.5" x14ac:dyDescent="0.25">
      <c r="B248" s="33" t="s">
        <v>432</v>
      </c>
      <c r="C248" s="125"/>
      <c r="D248" s="125"/>
      <c r="E248" s="176"/>
      <c r="F248" s="86">
        <f>530*8</f>
        <v>4240</v>
      </c>
      <c r="G248" s="88">
        <v>0.53</v>
      </c>
      <c r="H248" s="69">
        <f t="shared" si="15"/>
        <v>7675.1715299999996</v>
      </c>
      <c r="I248" s="61">
        <v>0</v>
      </c>
      <c r="J248" s="121">
        <v>7675.1715299999996</v>
      </c>
      <c r="K248" s="128">
        <v>0</v>
      </c>
      <c r="L248" s="57">
        <v>0</v>
      </c>
      <c r="M248" s="94">
        <v>0</v>
      </c>
    </row>
    <row r="249" spans="2:15" ht="49.5" x14ac:dyDescent="0.25">
      <c r="B249" s="33" t="s">
        <v>441</v>
      </c>
      <c r="C249" s="125"/>
      <c r="D249" s="69"/>
      <c r="E249" s="176"/>
      <c r="F249" s="86">
        <f>2460*5</f>
        <v>12300</v>
      </c>
      <c r="G249" s="88">
        <v>2.46</v>
      </c>
      <c r="H249" s="69">
        <f t="shared" si="15"/>
        <v>194813.39166999998</v>
      </c>
      <c r="I249" s="61">
        <v>0</v>
      </c>
      <c r="J249" s="121">
        <f>194813.44216-0.0499-0.00059</f>
        <v>194813.39166999998</v>
      </c>
      <c r="K249" s="128">
        <v>0</v>
      </c>
      <c r="L249" s="57">
        <v>0</v>
      </c>
      <c r="M249" s="94">
        <v>0</v>
      </c>
      <c r="N249" s="10"/>
      <c r="O249" s="9"/>
    </row>
    <row r="250" spans="2:15" ht="132" x14ac:dyDescent="0.25">
      <c r="B250" s="33" t="s">
        <v>796</v>
      </c>
      <c r="C250" s="125"/>
      <c r="D250" s="69"/>
      <c r="E250" s="176"/>
      <c r="F250" s="86">
        <f>G250*1000*4</f>
        <v>10164</v>
      </c>
      <c r="G250" s="88">
        <v>2.5409999999999999</v>
      </c>
      <c r="H250" s="69">
        <f t="shared" ref="H250:H312" si="16">SUM(I250:M250)</f>
        <v>186108.02</v>
      </c>
      <c r="I250" s="61">
        <v>0</v>
      </c>
      <c r="J250" s="121">
        <v>0</v>
      </c>
      <c r="K250" s="128">
        <v>186108.02</v>
      </c>
      <c r="L250" s="57">
        <v>0</v>
      </c>
      <c r="M250" s="94">
        <v>0</v>
      </c>
      <c r="N250" s="10"/>
      <c r="O250" s="9"/>
    </row>
    <row r="251" spans="2:15" ht="23.25" customHeight="1" x14ac:dyDescent="0.25">
      <c r="B251" s="126" t="s">
        <v>640</v>
      </c>
      <c r="C251" s="125"/>
      <c r="D251" s="69"/>
      <c r="E251" s="176"/>
      <c r="F251" s="86">
        <f>390*2</f>
        <v>780</v>
      </c>
      <c r="G251" s="88">
        <v>0.39</v>
      </c>
      <c r="H251" s="69">
        <f t="shared" si="16"/>
        <v>38811.052126304698</v>
      </c>
      <c r="I251" s="61">
        <v>0</v>
      </c>
      <c r="J251" s="121">
        <v>0</v>
      </c>
      <c r="K251" s="128">
        <f>12734.0142215572+(54869.18778/0.99)-14314.78672/0.99-10463.49737+10463.49737-14887.00357</f>
        <v>38811.052126304698</v>
      </c>
      <c r="L251" s="57">
        <v>0</v>
      </c>
      <c r="M251" s="94">
        <v>0</v>
      </c>
      <c r="N251" s="10"/>
      <c r="O251" s="9"/>
    </row>
    <row r="252" spans="2:15" ht="82.5" customHeight="1" x14ac:dyDescent="0.25">
      <c r="B252" s="33" t="s">
        <v>767</v>
      </c>
      <c r="C252" s="125"/>
      <c r="D252" s="69"/>
      <c r="E252" s="176"/>
      <c r="F252" s="86">
        <f>9187</f>
        <v>9187</v>
      </c>
      <c r="G252" s="90" t="s">
        <v>223</v>
      </c>
      <c r="H252" s="69">
        <f t="shared" si="16"/>
        <v>22038.451979797952</v>
      </c>
      <c r="I252" s="61">
        <v>0</v>
      </c>
      <c r="J252" s="93">
        <v>0</v>
      </c>
      <c r="K252" s="65">
        <f>7579.07145454545+14314.78672/0.99</f>
        <v>22038.451979797952</v>
      </c>
      <c r="L252" s="61">
        <v>0</v>
      </c>
      <c r="M252" s="94">
        <v>0</v>
      </c>
      <c r="N252" s="10"/>
      <c r="O252" s="9"/>
    </row>
    <row r="253" spans="2:15" s="178" customFormat="1" ht="49.5" x14ac:dyDescent="0.25">
      <c r="B253" s="48" t="s">
        <v>759</v>
      </c>
      <c r="C253" s="125"/>
      <c r="D253" s="69"/>
      <c r="E253" s="176"/>
      <c r="F253" s="115">
        <v>24650</v>
      </c>
      <c r="G253" s="90" t="s">
        <v>223</v>
      </c>
      <c r="H253" s="69">
        <f t="shared" si="16"/>
        <v>109120.47999303031</v>
      </c>
      <c r="I253" s="61">
        <v>0</v>
      </c>
      <c r="J253" s="93">
        <v>0</v>
      </c>
      <c r="K253" s="65">
        <f>'перечень объектов'!C269</f>
        <v>58829.627973030307</v>
      </c>
      <c r="L253" s="69">
        <f>'перечень объектов'!C365</f>
        <v>50290.852019999998</v>
      </c>
      <c r="M253" s="70">
        <v>0</v>
      </c>
      <c r="N253" s="179"/>
      <c r="O253" s="77"/>
    </row>
    <row r="254" spans="2:15" ht="49.5" x14ac:dyDescent="0.25">
      <c r="B254" s="33" t="str">
        <f>'перечень объектов'!B447</f>
        <v>Капитальный ремонт автомобильной дороги по ул.Игнатова-ул.Приборостроительная от разворотного кольца до ул.Октябрьская</v>
      </c>
      <c r="C254" s="125"/>
      <c r="D254" s="69"/>
      <c r="E254" s="176"/>
      <c r="F254" s="86">
        <f>2410*16</f>
        <v>38560</v>
      </c>
      <c r="G254" s="88">
        <v>2.41</v>
      </c>
      <c r="H254" s="69">
        <f t="shared" si="16"/>
        <v>101010.10101</v>
      </c>
      <c r="I254" s="61">
        <v>0</v>
      </c>
      <c r="J254" s="61">
        <v>0</v>
      </c>
      <c r="K254" s="61">
        <v>0</v>
      </c>
      <c r="L254" s="61">
        <v>0</v>
      </c>
      <c r="M254" s="89">
        <f>'перечень объектов'!C447</f>
        <v>101010.10101</v>
      </c>
      <c r="N254" s="10"/>
      <c r="O254" s="9"/>
    </row>
    <row r="255" spans="2:15" ht="23.25" hidden="1" customHeight="1" x14ac:dyDescent="0.25">
      <c r="B255" s="126" t="s">
        <v>426</v>
      </c>
      <c r="C255" s="125"/>
      <c r="D255" s="69"/>
      <c r="E255" s="176"/>
      <c r="F255" s="86">
        <f>970*13-12610</f>
        <v>0</v>
      </c>
      <c r="G255" s="88">
        <f>0.97-0.97</f>
        <v>0</v>
      </c>
      <c r="H255" s="69">
        <f t="shared" si="16"/>
        <v>0</v>
      </c>
      <c r="I255" s="61">
        <v>0</v>
      </c>
      <c r="J255" s="61">
        <v>0</v>
      </c>
      <c r="K255" s="61">
        <v>0</v>
      </c>
      <c r="L255" s="69">
        <v>0</v>
      </c>
      <c r="M255" s="94">
        <f>37830-37830</f>
        <v>0</v>
      </c>
      <c r="N255" s="10"/>
      <c r="O255" s="9"/>
    </row>
    <row r="256" spans="2:15" hidden="1" x14ac:dyDescent="0.25">
      <c r="B256" s="33" t="s">
        <v>427</v>
      </c>
      <c r="C256" s="125"/>
      <c r="D256" s="69"/>
      <c r="E256" s="176"/>
      <c r="F256" s="86">
        <f>776*14-10864</f>
        <v>0</v>
      </c>
      <c r="G256" s="88">
        <f>0.776-0.776</f>
        <v>0</v>
      </c>
      <c r="H256" s="69">
        <f t="shared" si="16"/>
        <v>0</v>
      </c>
      <c r="I256" s="61">
        <v>0</v>
      </c>
      <c r="J256" s="61">
        <v>0</v>
      </c>
      <c r="K256" s="61">
        <v>0</v>
      </c>
      <c r="L256" s="69">
        <v>0</v>
      </c>
      <c r="M256" s="94">
        <f>26073.6-26073.6</f>
        <v>0</v>
      </c>
      <c r="N256" s="10"/>
      <c r="O256" s="9"/>
    </row>
    <row r="257" spans="2:15" ht="33" x14ac:dyDescent="0.25">
      <c r="B257" s="33" t="str">
        <f>'по МК 56'!C6</f>
        <v>Капитальный ремонт автомобильных дорог города Орла на улицах частной жилой застройки: ул. Полевая</v>
      </c>
      <c r="C257" s="125"/>
      <c r="D257" s="69"/>
      <c r="E257" s="176"/>
      <c r="F257" s="86">
        <f>G257*4*1000</f>
        <v>4800</v>
      </c>
      <c r="G257" s="88">
        <f>'по МК 56'!D6/1000</f>
        <v>1.2</v>
      </c>
      <c r="H257" s="69">
        <f t="shared" si="16"/>
        <v>8317.1877650000006</v>
      </c>
      <c r="I257" s="61">
        <v>0</v>
      </c>
      <c r="J257" s="69">
        <v>4158.5938800000004</v>
      </c>
      <c r="K257" s="69">
        <v>4158.5938850000002</v>
      </c>
      <c r="L257" s="69">
        <v>0</v>
      </c>
      <c r="M257" s="94">
        <v>0</v>
      </c>
      <c r="N257" s="10"/>
      <c r="O257" s="9"/>
    </row>
    <row r="258" spans="2:15" ht="33" x14ac:dyDescent="0.25">
      <c r="B258" s="33" t="str">
        <f>'по МК 56'!C7</f>
        <v>Капитальный ремонт автомобильных дорог города Орла на улицах частной жилой застройки: ул. Высокая</v>
      </c>
      <c r="C258" s="125"/>
      <c r="D258" s="69"/>
      <c r="E258" s="176"/>
      <c r="F258" s="86">
        <f t="shared" ref="F258:F319" si="17">G258*4*1000</f>
        <v>4608</v>
      </c>
      <c r="G258" s="88">
        <v>1.1519999999999999</v>
      </c>
      <c r="H258" s="69">
        <f t="shared" si="16"/>
        <v>8175.5357700000004</v>
      </c>
      <c r="I258" s="61">
        <v>0</v>
      </c>
      <c r="J258" s="69">
        <v>4087.7678850000002</v>
      </c>
      <c r="K258" s="69">
        <v>4087.7678850000002</v>
      </c>
      <c r="L258" s="69">
        <v>0</v>
      </c>
      <c r="M258" s="94">
        <v>0</v>
      </c>
      <c r="N258" s="10"/>
      <c r="O258" s="9"/>
    </row>
    <row r="259" spans="2:15" ht="33" x14ac:dyDescent="0.25">
      <c r="B259" s="33" t="str">
        <f>'по МК 56'!C8</f>
        <v>Капитальный ремонт автомобильных дорог города Орла на улицах частной жилой застройки: ул.Радищева</v>
      </c>
      <c r="C259" s="125"/>
      <c r="D259" s="69"/>
      <c r="E259" s="176"/>
      <c r="F259" s="86">
        <f t="shared" si="17"/>
        <v>3720</v>
      </c>
      <c r="G259" s="88">
        <v>0.93</v>
      </c>
      <c r="H259" s="69">
        <f t="shared" si="16"/>
        <v>8246.3617699999995</v>
      </c>
      <c r="I259" s="61">
        <v>0</v>
      </c>
      <c r="J259" s="69">
        <v>4123.1808849999998</v>
      </c>
      <c r="K259" s="69">
        <v>4123.1808849999998</v>
      </c>
      <c r="L259" s="69">
        <v>0</v>
      </c>
      <c r="M259" s="94">
        <v>0</v>
      </c>
      <c r="N259" s="10"/>
      <c r="O259" s="9"/>
    </row>
    <row r="260" spans="2:15" ht="33" x14ac:dyDescent="0.25">
      <c r="B260" s="33" t="str">
        <f>'по МК 56'!C9</f>
        <v>Капитальный ремонт автомобильных дорог города Орла на улицах частной жилой застройки: ул.Волжская</v>
      </c>
      <c r="C260" s="125"/>
      <c r="D260" s="69"/>
      <c r="E260" s="176"/>
      <c r="F260" s="86">
        <f t="shared" si="17"/>
        <v>4400</v>
      </c>
      <c r="G260" s="88">
        <f>'по МК 56'!D9/1000</f>
        <v>1.1000000000000001</v>
      </c>
      <c r="H260" s="69">
        <f t="shared" si="16"/>
        <v>8246.3617699999995</v>
      </c>
      <c r="I260" s="61">
        <v>0</v>
      </c>
      <c r="J260" s="69">
        <v>4123.1808849999998</v>
      </c>
      <c r="K260" s="69">
        <v>4123.1808849999998</v>
      </c>
      <c r="L260" s="69">
        <v>0</v>
      </c>
      <c r="M260" s="94">
        <v>0</v>
      </c>
      <c r="N260" s="10"/>
      <c r="O260" s="9"/>
    </row>
    <row r="261" spans="2:15" ht="33" x14ac:dyDescent="0.25">
      <c r="B261" s="33" t="str">
        <f>'по МК 56'!C10</f>
        <v>Капитальный ремонт автомобильных дорог города Орла на улицах частной жилой застройки: ул.Гвардейская</v>
      </c>
      <c r="C261" s="125"/>
      <c r="D261" s="69"/>
      <c r="E261" s="176"/>
      <c r="F261" s="86">
        <f t="shared" si="17"/>
        <v>5200</v>
      </c>
      <c r="G261" s="88">
        <f>'по МК 56'!D10/1000</f>
        <v>1.3</v>
      </c>
      <c r="H261" s="69">
        <f t="shared" si="16"/>
        <v>11151.770420000001</v>
      </c>
      <c r="I261" s="61">
        <v>0</v>
      </c>
      <c r="J261" s="69">
        <v>5575.8852100000004</v>
      </c>
      <c r="K261" s="69">
        <v>5575.8852100000004</v>
      </c>
      <c r="L261" s="69">
        <v>0</v>
      </c>
      <c r="M261" s="94">
        <v>0</v>
      </c>
      <c r="N261" s="10"/>
      <c r="O261" s="9"/>
    </row>
    <row r="262" spans="2:15" ht="33" x14ac:dyDescent="0.25">
      <c r="B262" s="33" t="str">
        <f>'по МК 56'!C11</f>
        <v>Капитальный ремонт автомобильных дорог города Орла на улицах частной жилой застройки: пер.Южный 3 участок</v>
      </c>
      <c r="C262" s="125"/>
      <c r="D262" s="69"/>
      <c r="E262" s="176"/>
      <c r="F262" s="86">
        <f t="shared" si="17"/>
        <v>3384</v>
      </c>
      <c r="G262" s="88">
        <v>0.84599999999999997</v>
      </c>
      <c r="H262" s="69">
        <f>SUM(I262:M262)+0.00001</f>
        <v>8577.8546299999998</v>
      </c>
      <c r="I262" s="61">
        <v>0</v>
      </c>
      <c r="J262" s="69">
        <v>4288.9273149999999</v>
      </c>
      <c r="K262" s="69">
        <f>'перечень объектов'!C275</f>
        <v>4288.9273050000002</v>
      </c>
      <c r="L262" s="69">
        <v>0</v>
      </c>
      <c r="M262" s="94">
        <v>0</v>
      </c>
      <c r="N262" s="10"/>
      <c r="O262" s="9"/>
    </row>
    <row r="263" spans="2:15" ht="33" x14ac:dyDescent="0.25">
      <c r="B263" s="33" t="str">
        <f>'по МК 56'!C14</f>
        <v>Капитальный ремонт автомобильных дорог города Орла на улицах частной жилой застройки: ул.Елецкая</v>
      </c>
      <c r="C263" s="125"/>
      <c r="D263" s="69"/>
      <c r="E263" s="176"/>
      <c r="F263" s="86">
        <f t="shared" si="17"/>
        <v>6800</v>
      </c>
      <c r="G263" s="88">
        <v>1.7</v>
      </c>
      <c r="H263" s="69">
        <f t="shared" si="16"/>
        <v>15783.4701</v>
      </c>
      <c r="I263" s="61">
        <v>0</v>
      </c>
      <c r="J263" s="61">
        <v>0</v>
      </c>
      <c r="K263" s="61">
        <f>'по МК 56'!E14/1000</f>
        <v>15783.4701</v>
      </c>
      <c r="L263" s="61">
        <v>0</v>
      </c>
      <c r="M263" s="94">
        <v>0</v>
      </c>
      <c r="N263" s="10"/>
      <c r="O263" s="9"/>
    </row>
    <row r="264" spans="2:15" ht="33" x14ac:dyDescent="0.25">
      <c r="B264" s="33" t="str">
        <f>'по МК 56'!C15</f>
        <v>Капитальный ремонт автомобильных дорог города Орла на улицах частной жилой застройки: ул.Серпуховская</v>
      </c>
      <c r="C264" s="125"/>
      <c r="D264" s="69"/>
      <c r="E264" s="176"/>
      <c r="F264" s="86">
        <f t="shared" si="17"/>
        <v>7200</v>
      </c>
      <c r="G264" s="88">
        <f>'по МК 56'!D15/1000</f>
        <v>1.8</v>
      </c>
      <c r="H264" s="69">
        <f t="shared" si="16"/>
        <v>14205.123089999997</v>
      </c>
      <c r="I264" s="61">
        <v>0</v>
      </c>
      <c r="J264" s="61">
        <v>0</v>
      </c>
      <c r="K264" s="61">
        <f>'по МК 56'!E15/1000</f>
        <v>14205.123089999997</v>
      </c>
      <c r="L264" s="61">
        <v>0</v>
      </c>
      <c r="M264" s="94">
        <v>0</v>
      </c>
      <c r="N264" s="10"/>
      <c r="O264" s="9"/>
    </row>
    <row r="265" spans="2:15" ht="33" x14ac:dyDescent="0.25">
      <c r="B265" s="33" t="str">
        <f>'по МК 56'!C16</f>
        <v>Капитальный ремонт автомобильных дорог города Орла на улицах частной жилой застройки: пер.Приокский-ул.Отрадная</v>
      </c>
      <c r="C265" s="125"/>
      <c r="D265" s="69"/>
      <c r="E265" s="176"/>
      <c r="F265" s="86">
        <f t="shared" si="17"/>
        <v>2836</v>
      </c>
      <c r="G265" s="88">
        <v>0.70899999999999996</v>
      </c>
      <c r="H265" s="69">
        <f t="shared" si="16"/>
        <v>5800.4252617499997</v>
      </c>
      <c r="I265" s="61">
        <v>0</v>
      </c>
      <c r="J265" s="61">
        <v>0</v>
      </c>
      <c r="K265" s="61">
        <f>'по МК 56'!E16/1000</f>
        <v>5800.4252617499997</v>
      </c>
      <c r="L265" s="61">
        <v>0</v>
      </c>
      <c r="M265" s="94">
        <v>0</v>
      </c>
      <c r="N265" s="10"/>
      <c r="O265" s="9"/>
    </row>
    <row r="266" spans="2:15" ht="33" x14ac:dyDescent="0.25">
      <c r="B266" s="33" t="str">
        <f>'по МК 56'!C17</f>
        <v>Капитальный ремонт автомобильных дорог города Орла на улицах частной жилой застройки: ул.Приокская</v>
      </c>
      <c r="C266" s="125"/>
      <c r="D266" s="69"/>
      <c r="E266" s="176"/>
      <c r="F266" s="86">
        <f t="shared" si="17"/>
        <v>1336</v>
      </c>
      <c r="G266" s="88">
        <f>'по МК 56'!D17/1000</f>
        <v>0.33400000000000002</v>
      </c>
      <c r="H266" s="69">
        <f t="shared" si="16"/>
        <v>2635.8395066999997</v>
      </c>
      <c r="I266" s="61">
        <v>0</v>
      </c>
      <c r="J266" s="61">
        <v>0</v>
      </c>
      <c r="K266" s="61">
        <f>'по МК 56'!E17/1000</f>
        <v>2635.8395066999997</v>
      </c>
      <c r="L266" s="61">
        <v>0</v>
      </c>
      <c r="M266" s="94">
        <v>0</v>
      </c>
      <c r="N266" s="10"/>
      <c r="O266" s="9"/>
    </row>
    <row r="267" spans="2:15" ht="33" x14ac:dyDescent="0.25">
      <c r="B267" s="33" t="str">
        <f>'по МК 56'!C18</f>
        <v>Капитальный ремонт автомобильных дорог города Орла на улицах частной жилой застройки: ул.Скульптурная</v>
      </c>
      <c r="C267" s="125"/>
      <c r="D267" s="69"/>
      <c r="E267" s="176"/>
      <c r="F267" s="86">
        <f t="shared" si="17"/>
        <v>4400</v>
      </c>
      <c r="G267" s="88">
        <f>'по МК 56'!D18/1000</f>
        <v>1.1000000000000001</v>
      </c>
      <c r="H267" s="69">
        <f t="shared" si="16"/>
        <v>8680.908555</v>
      </c>
      <c r="I267" s="61">
        <v>0</v>
      </c>
      <c r="J267" s="61">
        <v>0</v>
      </c>
      <c r="K267" s="61">
        <f>'по МК 56'!E18/1000</f>
        <v>8680.908555</v>
      </c>
      <c r="L267" s="61">
        <v>0</v>
      </c>
      <c r="M267" s="94">
        <v>0</v>
      </c>
      <c r="N267" s="10"/>
      <c r="O267" s="9"/>
    </row>
    <row r="268" spans="2:15" ht="33" x14ac:dyDescent="0.25">
      <c r="B268" s="33" t="str">
        <f>'по МК 56'!C19</f>
        <v>Капитальный ремонт автомобильных дорог города Орла на улицах частной жилой застройки: ул.Менделеева</v>
      </c>
      <c r="C268" s="125"/>
      <c r="D268" s="69"/>
      <c r="E268" s="176"/>
      <c r="F268" s="86">
        <f t="shared" si="17"/>
        <v>3592</v>
      </c>
      <c r="G268" s="88">
        <f>'по МК 56'!D19/1000</f>
        <v>0.89800000000000002</v>
      </c>
      <c r="H268" s="69">
        <f t="shared" si="16"/>
        <v>7086.7780749000003</v>
      </c>
      <c r="I268" s="61">
        <v>0</v>
      </c>
      <c r="J268" s="61">
        <v>0</v>
      </c>
      <c r="K268" s="61">
        <f>'по МК 56'!E19/1000</f>
        <v>7086.7780749000003</v>
      </c>
      <c r="L268" s="61">
        <v>0</v>
      </c>
      <c r="M268" s="94">
        <v>0</v>
      </c>
      <c r="N268" s="10"/>
      <c r="O268" s="9"/>
    </row>
    <row r="269" spans="2:15" ht="33" x14ac:dyDescent="0.25">
      <c r="B269" s="33" t="str">
        <f>'по МК 56'!C20</f>
        <v>Капитальный ремонт автомобильных дорог города Орла на улицах частной жилой застройки: ул.Яблочная</v>
      </c>
      <c r="C269" s="125"/>
      <c r="D269" s="69"/>
      <c r="E269" s="176"/>
      <c r="F269" s="86">
        <f t="shared" si="17"/>
        <v>4000</v>
      </c>
      <c r="G269" s="88">
        <v>1</v>
      </c>
      <c r="H269" s="69">
        <f t="shared" si="16"/>
        <v>12626.77608</v>
      </c>
      <c r="I269" s="61">
        <v>0</v>
      </c>
      <c r="J269" s="61">
        <v>0</v>
      </c>
      <c r="K269" s="61">
        <f>'по МК 56'!E20/1000</f>
        <v>12626.77608</v>
      </c>
      <c r="L269" s="61">
        <v>0</v>
      </c>
      <c r="M269" s="94">
        <v>0</v>
      </c>
      <c r="N269" s="10"/>
      <c r="O269" s="9"/>
    </row>
    <row r="270" spans="2:15" ht="33" x14ac:dyDescent="0.25">
      <c r="B270" s="33" t="str">
        <f>'по МК 56'!C21</f>
        <v>Капитальный ремонт автомобильных дорог города Орла на улицах частной жилой застройки: пер.Половецкий</v>
      </c>
      <c r="C270" s="125"/>
      <c r="D270" s="69"/>
      <c r="E270" s="176"/>
      <c r="F270" s="86">
        <f t="shared" si="17"/>
        <v>4800</v>
      </c>
      <c r="G270" s="88">
        <f>'по МК 56'!D21/1000</f>
        <v>1.2</v>
      </c>
      <c r="H270" s="69">
        <f t="shared" si="16"/>
        <v>9470.0820600000006</v>
      </c>
      <c r="I270" s="61">
        <v>0</v>
      </c>
      <c r="J270" s="61">
        <v>0</v>
      </c>
      <c r="K270" s="61">
        <f>'по МК 56'!E21/1000</f>
        <v>9470.0820600000006</v>
      </c>
      <c r="L270" s="61">
        <v>0</v>
      </c>
      <c r="M270" s="94">
        <v>0</v>
      </c>
      <c r="N270" s="10"/>
      <c r="O270" s="9"/>
    </row>
    <row r="271" spans="2:15" ht="33" x14ac:dyDescent="0.25">
      <c r="B271" s="33" t="str">
        <f>'по МК 56'!C22</f>
        <v>Капитальный ремонт автомобильных дорог города Орла на улицах частной жилой застройки: ул. Полигонная</v>
      </c>
      <c r="C271" s="125"/>
      <c r="D271" s="69"/>
      <c r="E271" s="176"/>
      <c r="F271" s="86">
        <f t="shared" si="17"/>
        <v>1652</v>
      </c>
      <c r="G271" s="88">
        <f>'по МК 56'!D22/1000</f>
        <v>0.41299999999999998</v>
      </c>
      <c r="H271" s="69">
        <f t="shared" si="16"/>
        <v>3259.28657565</v>
      </c>
      <c r="I271" s="61">
        <v>0</v>
      </c>
      <c r="J271" s="61">
        <v>0</v>
      </c>
      <c r="K271" s="61">
        <f>'по МК 56'!E22/1000</f>
        <v>3259.28657565</v>
      </c>
      <c r="L271" s="61">
        <v>0</v>
      </c>
      <c r="M271" s="94">
        <v>0</v>
      </c>
      <c r="N271" s="10"/>
      <c r="O271" s="9"/>
    </row>
    <row r="272" spans="2:15" ht="33" x14ac:dyDescent="0.25">
      <c r="B272" s="33" t="str">
        <f>'по МК 56'!C23</f>
        <v>Капитальный ремонт автомобильных дорог города Орла на улицах частной жилой застройки: ул. Ново-Лужковская</v>
      </c>
      <c r="C272" s="125"/>
      <c r="D272" s="69"/>
      <c r="E272" s="176"/>
      <c r="F272" s="86">
        <f t="shared" si="17"/>
        <v>1960</v>
      </c>
      <c r="G272" s="88">
        <v>0.49</v>
      </c>
      <c r="H272" s="69">
        <f t="shared" si="16"/>
        <v>3874.8419095499994</v>
      </c>
      <c r="I272" s="61">
        <v>0</v>
      </c>
      <c r="J272" s="61">
        <v>0</v>
      </c>
      <c r="K272" s="61">
        <f>'по МК 56'!E23/1000</f>
        <v>3874.8419095499994</v>
      </c>
      <c r="L272" s="61">
        <v>0</v>
      </c>
      <c r="M272" s="94">
        <v>0</v>
      </c>
      <c r="N272" s="10"/>
      <c r="O272" s="9"/>
    </row>
    <row r="273" spans="2:15" ht="33" x14ac:dyDescent="0.25">
      <c r="B273" s="33" t="str">
        <f>'по МК 56'!C24</f>
        <v>Капитальный ремонт автомобильных дорог города Орла на улицах частной жилой застройки: ул. Магазинная</v>
      </c>
      <c r="C273" s="125"/>
      <c r="D273" s="69"/>
      <c r="E273" s="176"/>
      <c r="F273" s="86">
        <f t="shared" si="17"/>
        <v>2787.6</v>
      </c>
      <c r="G273" s="88">
        <v>0.69689999999999996</v>
      </c>
      <c r="H273" s="69">
        <f t="shared" si="16"/>
        <v>5682.0492400000003</v>
      </c>
      <c r="I273" s="61">
        <v>0</v>
      </c>
      <c r="J273" s="61">
        <v>0</v>
      </c>
      <c r="K273" s="61">
        <f>'перечень объектов'!C286</f>
        <v>5682.0492400000003</v>
      </c>
      <c r="L273" s="61">
        <v>0</v>
      </c>
      <c r="M273" s="94">
        <v>0</v>
      </c>
      <c r="N273" s="10"/>
      <c r="O273" s="9"/>
    </row>
    <row r="274" spans="2:15" ht="33" x14ac:dyDescent="0.25">
      <c r="B274" s="33" t="str">
        <f>'по МК 56'!C25</f>
        <v>Капитальный ремонт автомобильных дорог города Орла на улицах частной жилой застройки: ул.Турбина</v>
      </c>
      <c r="C274" s="125"/>
      <c r="D274" s="69"/>
      <c r="E274" s="176"/>
      <c r="F274" s="86">
        <f t="shared" si="17"/>
        <v>920</v>
      </c>
      <c r="G274" s="88">
        <v>0.23</v>
      </c>
      <c r="H274" s="69">
        <f t="shared" si="16"/>
        <v>2769.9990025499997</v>
      </c>
      <c r="I274" s="61">
        <v>0</v>
      </c>
      <c r="J274" s="61">
        <v>0</v>
      </c>
      <c r="K274" s="61">
        <f>'по МК 56'!E25/1000</f>
        <v>2769.9990025499997</v>
      </c>
      <c r="L274" s="61">
        <v>0</v>
      </c>
      <c r="M274" s="94">
        <v>0</v>
      </c>
      <c r="N274" s="10"/>
      <c r="O274" s="9"/>
    </row>
    <row r="275" spans="2:15" ht="33" x14ac:dyDescent="0.25">
      <c r="B275" s="33" t="str">
        <f>'по МК 56'!C26</f>
        <v>Капитальный ремонт автомобильных дорог города Орла на улицах частной жилой застройки: ул.Кривцова</v>
      </c>
      <c r="C275" s="125"/>
      <c r="D275" s="69"/>
      <c r="E275" s="176"/>
      <c r="F275" s="86">
        <f t="shared" si="17"/>
        <v>920</v>
      </c>
      <c r="G275" s="88">
        <v>0.23</v>
      </c>
      <c r="H275" s="69">
        <f t="shared" si="16"/>
        <v>3551.2807724999993</v>
      </c>
      <c r="I275" s="61">
        <v>0</v>
      </c>
      <c r="J275" s="61">
        <v>0</v>
      </c>
      <c r="K275" s="61">
        <f>'по МК 56'!E26/1000</f>
        <v>3551.2807724999993</v>
      </c>
      <c r="L275" s="61">
        <v>0</v>
      </c>
      <c r="M275" s="94">
        <v>0</v>
      </c>
      <c r="N275" s="10"/>
      <c r="O275" s="9"/>
    </row>
    <row r="276" spans="2:15" ht="33" x14ac:dyDescent="0.25">
      <c r="B276" s="33" t="str">
        <f>'по МК 56'!C27</f>
        <v>Капитальный ремонт автомобильных дорог города Орла на улицах частной жилой застройки: пер.Городской</v>
      </c>
      <c r="C276" s="125"/>
      <c r="D276" s="69"/>
      <c r="E276" s="176"/>
      <c r="F276" s="86">
        <f t="shared" si="17"/>
        <v>2312</v>
      </c>
      <c r="G276" s="88">
        <f>'по МК 56'!D27/1000</f>
        <v>0.57799999999999996</v>
      </c>
      <c r="H276" s="69">
        <f t="shared" si="16"/>
        <v>4561.4228588999995</v>
      </c>
      <c r="I276" s="61">
        <v>0</v>
      </c>
      <c r="J276" s="61">
        <v>0</v>
      </c>
      <c r="K276" s="61">
        <f>'по МК 56'!E27/1000</f>
        <v>4561.4228588999995</v>
      </c>
      <c r="L276" s="61">
        <v>0</v>
      </c>
      <c r="M276" s="94">
        <v>0</v>
      </c>
      <c r="N276" s="10"/>
      <c r="O276" s="9"/>
    </row>
    <row r="277" spans="2:15" ht="33" x14ac:dyDescent="0.25">
      <c r="B277" s="33" t="str">
        <f>'по МК 56'!C28</f>
        <v>Капитальный ремонт автомобильных дорог города Орла на улицах частной жилой застройки: ул.Линейная</v>
      </c>
      <c r="C277" s="125"/>
      <c r="D277" s="69"/>
      <c r="E277" s="176"/>
      <c r="F277" s="86">
        <f t="shared" si="17"/>
        <v>1920</v>
      </c>
      <c r="G277" s="88">
        <v>0.48</v>
      </c>
      <c r="H277" s="69">
        <f t="shared" si="16"/>
        <v>7165.6954254000002</v>
      </c>
      <c r="I277" s="61">
        <v>0</v>
      </c>
      <c r="J277" s="61">
        <v>0</v>
      </c>
      <c r="K277" s="61">
        <f>'по МК 56'!E28/1000</f>
        <v>7165.6954254000002</v>
      </c>
      <c r="L277" s="61">
        <v>0</v>
      </c>
      <c r="M277" s="94">
        <v>0</v>
      </c>
      <c r="N277" s="10"/>
      <c r="O277" s="9"/>
    </row>
    <row r="278" spans="2:15" ht="33" x14ac:dyDescent="0.25">
      <c r="B278" s="33" t="str">
        <f>'по МК 56'!C29</f>
        <v>Капитальный ремонт автомобильных дорог города Орла на улицах частной жилой застройки: ул.Степная</v>
      </c>
      <c r="C278" s="125"/>
      <c r="D278" s="69"/>
      <c r="E278" s="176"/>
      <c r="F278" s="86">
        <f t="shared" si="17"/>
        <v>3720</v>
      </c>
      <c r="G278" s="88">
        <v>0.93</v>
      </c>
      <c r="H278" s="69">
        <f t="shared" si="16"/>
        <v>7544.4981699999998</v>
      </c>
      <c r="I278" s="61">
        <v>0</v>
      </c>
      <c r="J278" s="61">
        <v>0</v>
      </c>
      <c r="K278" s="61">
        <f>'перечень объектов'!C291</f>
        <v>7544.4981699999998</v>
      </c>
      <c r="L278" s="61">
        <v>0</v>
      </c>
      <c r="M278" s="94">
        <v>0</v>
      </c>
      <c r="N278" s="10"/>
      <c r="O278" s="9"/>
    </row>
    <row r="279" spans="2:15" ht="33" x14ac:dyDescent="0.25">
      <c r="B279" s="33" t="str">
        <f>'по МК 56'!C30</f>
        <v>Капитальный ремонт автомобильных дорог города Орла на улицах частной жилой застройки: ул.Лужковская 2 участок</v>
      </c>
      <c r="C279" s="125"/>
      <c r="D279" s="69"/>
      <c r="E279" s="176"/>
      <c r="F279" s="86">
        <f t="shared" si="17"/>
        <v>2268</v>
      </c>
      <c r="G279" s="88">
        <f>'по МК 56'!D30/1000</f>
        <v>0.56699999999999995</v>
      </c>
      <c r="H279" s="69">
        <f t="shared" si="16"/>
        <v>4474.613803350001</v>
      </c>
      <c r="I279" s="61">
        <v>0</v>
      </c>
      <c r="J279" s="61">
        <v>0</v>
      </c>
      <c r="K279" s="61">
        <f>'по МК 56'!E30/1000</f>
        <v>4474.613803350001</v>
      </c>
      <c r="L279" s="61">
        <v>0</v>
      </c>
      <c r="M279" s="94">
        <v>0</v>
      </c>
      <c r="N279" s="10"/>
      <c r="O279" s="9"/>
    </row>
    <row r="280" spans="2:15" ht="33" x14ac:dyDescent="0.25">
      <c r="B280" s="33" t="str">
        <f>'по МК 56'!C31</f>
        <v>Капитальный ремонт автомобильных дорог города Орла на улицах частной жилой застройки: ул.Уральская 1 участок</v>
      </c>
      <c r="C280" s="125"/>
      <c r="D280" s="69"/>
      <c r="E280" s="176"/>
      <c r="F280" s="86">
        <f t="shared" si="17"/>
        <v>800</v>
      </c>
      <c r="G280" s="88">
        <v>0.2</v>
      </c>
      <c r="H280" s="69">
        <f t="shared" si="16"/>
        <v>2643.7312417500002</v>
      </c>
      <c r="I280" s="61">
        <v>0</v>
      </c>
      <c r="J280" s="61">
        <v>0</v>
      </c>
      <c r="K280" s="61">
        <f>'по МК 56'!E31/1000</f>
        <v>2643.7312417500002</v>
      </c>
      <c r="L280" s="61">
        <v>0</v>
      </c>
      <c r="M280" s="94">
        <v>0</v>
      </c>
      <c r="N280" s="10"/>
      <c r="O280" s="9"/>
    </row>
    <row r="281" spans="2:15" ht="33" x14ac:dyDescent="0.25">
      <c r="B281" s="33" t="str">
        <f>'по МК 56'!C32</f>
        <v>Капитальный ремонт автомобильных дорог города Орла на улицах частной жилой застройки: ул.Мичурина</v>
      </c>
      <c r="C281" s="125"/>
      <c r="D281" s="69"/>
      <c r="E281" s="176"/>
      <c r="F281" s="86">
        <f t="shared" si="17"/>
        <v>5200</v>
      </c>
      <c r="G281" s="88">
        <f>'по МК 56'!D32/1000</f>
        <v>1.3</v>
      </c>
      <c r="H281" s="69">
        <f t="shared" si="16"/>
        <v>10259.265565</v>
      </c>
      <c r="I281" s="61">
        <v>0</v>
      </c>
      <c r="J281" s="61">
        <v>0</v>
      </c>
      <c r="K281" s="61">
        <f>'по МК 56'!E32/1000+0.01</f>
        <v>10259.265565</v>
      </c>
      <c r="L281" s="61">
        <v>0</v>
      </c>
      <c r="M281" s="94">
        <v>0</v>
      </c>
      <c r="N281" s="10"/>
      <c r="O281" s="9"/>
    </row>
    <row r="282" spans="2:15" ht="33" x14ac:dyDescent="0.25">
      <c r="B282" s="33" t="str">
        <f>'по МК 56'!C33</f>
        <v>Капитальный ремонт автомобильных дорог города Орла на улицах частной жилой застройки: ул. Смоленская 1 участок</v>
      </c>
      <c r="C282" s="125"/>
      <c r="D282" s="69"/>
      <c r="E282" s="176"/>
      <c r="F282" s="86">
        <f t="shared" si="17"/>
        <v>2572</v>
      </c>
      <c r="G282" s="88">
        <f>'по МК 56'!D33/1000</f>
        <v>0.64300000000000002</v>
      </c>
      <c r="H282" s="69">
        <f t="shared" si="16"/>
        <v>5074.3856371499996</v>
      </c>
      <c r="I282" s="61">
        <v>0</v>
      </c>
      <c r="J282" s="61">
        <v>0</v>
      </c>
      <c r="K282" s="61">
        <f>'по МК 56'!E33/1000</f>
        <v>5074.3856371499996</v>
      </c>
      <c r="L282" s="61">
        <v>0</v>
      </c>
      <c r="M282" s="94">
        <v>0</v>
      </c>
      <c r="N282" s="10"/>
      <c r="O282" s="9"/>
    </row>
    <row r="283" spans="2:15" ht="49.5" x14ac:dyDescent="0.25">
      <c r="B283" s="33" t="str">
        <f>'по МК 56'!C34</f>
        <v>Капитальный ремонт автомобильных дорог города Орла на улицах частной жилой застройки: ул. 3 Курская от ул. Магазинной до дома 94</v>
      </c>
      <c r="C283" s="125"/>
      <c r="D283" s="69"/>
      <c r="E283" s="176"/>
      <c r="F283" s="86">
        <f t="shared" si="17"/>
        <v>592</v>
      </c>
      <c r="G283" s="88">
        <f>'по МК 56'!D34/1000</f>
        <v>0.14799999999999999</v>
      </c>
      <c r="H283" s="69">
        <f t="shared" si="16"/>
        <v>1167.9767873999999</v>
      </c>
      <c r="I283" s="61">
        <v>0</v>
      </c>
      <c r="J283" s="61">
        <v>0</v>
      </c>
      <c r="K283" s="61">
        <f>'по МК 56'!E34/1000</f>
        <v>1167.9767873999999</v>
      </c>
      <c r="L283" s="61">
        <v>0</v>
      </c>
      <c r="M283" s="94">
        <v>0</v>
      </c>
      <c r="N283" s="10"/>
      <c r="O283" s="9"/>
    </row>
    <row r="284" spans="2:15" ht="33" x14ac:dyDescent="0.25">
      <c r="B284" s="33" t="str">
        <f>'по МК 56'!C35</f>
        <v>Капитальный ремонт автомобильных дорог города Орла на улицах частной жилой застройки: ул. Дружбы</v>
      </c>
      <c r="C284" s="125"/>
      <c r="D284" s="69"/>
      <c r="E284" s="176"/>
      <c r="F284" s="86">
        <f t="shared" si="17"/>
        <v>2176</v>
      </c>
      <c r="G284" s="88">
        <f>'по МК 56'!D35/1000</f>
        <v>0.54400000000000004</v>
      </c>
      <c r="H284" s="69">
        <f t="shared" si="16"/>
        <v>4293.1038671999995</v>
      </c>
      <c r="I284" s="61">
        <v>0</v>
      </c>
      <c r="J284" s="61">
        <v>0</v>
      </c>
      <c r="K284" s="61">
        <f>'по МК 56'!E35/1000</f>
        <v>4293.1038671999995</v>
      </c>
      <c r="L284" s="61">
        <v>0</v>
      </c>
      <c r="M284" s="94">
        <v>0</v>
      </c>
      <c r="N284" s="10"/>
      <c r="O284" s="9"/>
    </row>
    <row r="285" spans="2:15" ht="33" x14ac:dyDescent="0.25">
      <c r="B285" s="33" t="str">
        <f>'по МК 56'!C36</f>
        <v>Капитальный ремонт автомобильных дорог города Орла на улицах частной жилой застройки: пер. Ковыльный</v>
      </c>
      <c r="C285" s="125"/>
      <c r="D285" s="69"/>
      <c r="E285" s="176"/>
      <c r="F285" s="86">
        <f t="shared" si="17"/>
        <v>1772</v>
      </c>
      <c r="G285" s="88">
        <f>'по МК 56'!D36/1000</f>
        <v>0.443</v>
      </c>
      <c r="H285" s="69">
        <f t="shared" si="16"/>
        <v>3496.0386271500001</v>
      </c>
      <c r="I285" s="61">
        <v>0</v>
      </c>
      <c r="J285" s="61">
        <v>0</v>
      </c>
      <c r="K285" s="61">
        <f>'по МК 56'!E36/1000</f>
        <v>3496.0386271500001</v>
      </c>
      <c r="L285" s="61">
        <v>0</v>
      </c>
      <c r="M285" s="94">
        <v>0</v>
      </c>
      <c r="N285" s="10"/>
      <c r="O285" s="9"/>
    </row>
    <row r="286" spans="2:15" ht="33" x14ac:dyDescent="0.25">
      <c r="B286" s="33" t="str">
        <f>'по МК 56'!C37</f>
        <v>Капитальный ремонт автомобильных дорог города Орла на улицах частной жилой застройки: пер. Лужковский</v>
      </c>
      <c r="C286" s="125"/>
      <c r="D286" s="69"/>
      <c r="E286" s="176"/>
      <c r="F286" s="86">
        <f t="shared" si="17"/>
        <v>2320</v>
      </c>
      <c r="G286" s="88">
        <v>0.57999999999999996</v>
      </c>
      <c r="H286" s="69">
        <f t="shared" si="16"/>
        <v>5634.6988257000003</v>
      </c>
      <c r="I286" s="61">
        <v>0</v>
      </c>
      <c r="J286" s="61">
        <v>0</v>
      </c>
      <c r="K286" s="61">
        <f>'по МК 56'!E37/1000</f>
        <v>5634.6988257000003</v>
      </c>
      <c r="L286" s="61">
        <v>0</v>
      </c>
      <c r="M286" s="94">
        <v>0</v>
      </c>
      <c r="N286" s="10"/>
      <c r="O286" s="9"/>
    </row>
    <row r="287" spans="2:15" ht="33" x14ac:dyDescent="0.25">
      <c r="B287" s="33" t="str">
        <f>'по МК 56'!C38</f>
        <v>Капитальный ремонт автомобильных дорог города Орла на улицах частной жилой застройки: пер. Менделеева</v>
      </c>
      <c r="C287" s="125"/>
      <c r="D287" s="69"/>
      <c r="E287" s="176"/>
      <c r="F287" s="86">
        <f t="shared" si="17"/>
        <v>568</v>
      </c>
      <c r="G287" s="88">
        <f>'по МК 56'!D38/1000</f>
        <v>0.14199999999999999</v>
      </c>
      <c r="H287" s="69">
        <f t="shared" si="16"/>
        <v>1120.6263270999998</v>
      </c>
      <c r="I287" s="61">
        <v>0</v>
      </c>
      <c r="J287" s="61">
        <v>0</v>
      </c>
      <c r="K287" s="61">
        <f>'по МК 56'!E38/1000</f>
        <v>1120.6263270999998</v>
      </c>
      <c r="L287" s="61">
        <v>0</v>
      </c>
      <c r="M287" s="94">
        <v>0</v>
      </c>
      <c r="N287" s="10"/>
      <c r="O287" s="9"/>
    </row>
    <row r="288" spans="2:15" ht="33" x14ac:dyDescent="0.25">
      <c r="B288" s="33" t="str">
        <f>'по МК 56'!C39</f>
        <v>Капитальный ремонт автомобильных дорог города Орла на улицах частной жилой застройки: пер. Еловый</v>
      </c>
      <c r="C288" s="125"/>
      <c r="D288" s="69"/>
      <c r="E288" s="176"/>
      <c r="F288" s="86">
        <f t="shared" si="17"/>
        <v>640</v>
      </c>
      <c r="G288" s="88">
        <f>'по МК 56'!D39/1000</f>
        <v>0.16</v>
      </c>
      <c r="H288" s="69">
        <f t="shared" si="16"/>
        <v>1262.6776079999997</v>
      </c>
      <c r="I288" s="61">
        <v>0</v>
      </c>
      <c r="J288" s="61">
        <v>0</v>
      </c>
      <c r="K288" s="61">
        <f>'по МК 56'!E39/1000</f>
        <v>1262.6776079999997</v>
      </c>
      <c r="L288" s="61">
        <v>0</v>
      </c>
      <c r="M288" s="94">
        <v>0</v>
      </c>
      <c r="N288" s="10"/>
      <c r="O288" s="9"/>
    </row>
    <row r="289" spans="2:15" ht="33" x14ac:dyDescent="0.25">
      <c r="B289" s="33" t="str">
        <f>'по МК 56'!C40</f>
        <v>Капитальный ремонт автомобильных дорог города Орла на улицах частной жилой застройки: ул. Светлая</v>
      </c>
      <c r="C289" s="125"/>
      <c r="D289" s="69"/>
      <c r="E289" s="176"/>
      <c r="F289" s="86">
        <f t="shared" si="17"/>
        <v>1868</v>
      </c>
      <c r="G289" s="88">
        <f>'по МК 56'!D40/1000</f>
        <v>0.46700000000000003</v>
      </c>
      <c r="H289" s="69">
        <f t="shared" si="16"/>
        <v>3685.4402683500002</v>
      </c>
      <c r="I289" s="61">
        <v>0</v>
      </c>
      <c r="J289" s="61">
        <v>0</v>
      </c>
      <c r="K289" s="61">
        <f>'по МК 56'!E40/1000</f>
        <v>3685.4402683500002</v>
      </c>
      <c r="L289" s="61">
        <v>0</v>
      </c>
      <c r="M289" s="94">
        <v>0</v>
      </c>
      <c r="N289" s="10"/>
      <c r="O289" s="9"/>
    </row>
    <row r="290" spans="2:15" ht="33" x14ac:dyDescent="0.25">
      <c r="B290" s="33" t="str">
        <f>'по МК 56'!C41</f>
        <v>Капитальный ремонт автомобильных дорог города Орла на улицах частной жилой застройки: пер. Грибной</v>
      </c>
      <c r="C290" s="125"/>
      <c r="D290" s="69"/>
      <c r="E290" s="176"/>
      <c r="F290" s="86">
        <f t="shared" si="17"/>
        <v>312</v>
      </c>
      <c r="G290" s="88">
        <v>7.8E-2</v>
      </c>
      <c r="H290" s="69">
        <f t="shared" si="16"/>
        <v>1467.8627192999998</v>
      </c>
      <c r="I290" s="61">
        <v>0</v>
      </c>
      <c r="J290" s="61">
        <v>0</v>
      </c>
      <c r="K290" s="61">
        <f>'по МК 56'!E41/1000</f>
        <v>1467.8627192999998</v>
      </c>
      <c r="L290" s="61">
        <v>0</v>
      </c>
      <c r="M290" s="94">
        <v>0</v>
      </c>
      <c r="N290" s="10"/>
      <c r="O290" s="9"/>
    </row>
    <row r="291" spans="2:15" ht="49.5" x14ac:dyDescent="0.25">
      <c r="B291" s="33" t="str">
        <f>'по МК 56'!C42</f>
        <v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v>
      </c>
      <c r="C291" s="125"/>
      <c r="D291" s="69"/>
      <c r="E291" s="176"/>
      <c r="F291" s="86">
        <f t="shared" si="17"/>
        <v>1792</v>
      </c>
      <c r="G291" s="88">
        <f>'по МК 56'!D42/1000</f>
        <v>0.44800000000000001</v>
      </c>
      <c r="H291" s="69">
        <f t="shared" si="16"/>
        <v>3535.4973024000001</v>
      </c>
      <c r="I291" s="61">
        <v>0</v>
      </c>
      <c r="J291" s="61">
        <v>0</v>
      </c>
      <c r="K291" s="61">
        <f>'по МК 56'!E42/1000</f>
        <v>3535.4973024000001</v>
      </c>
      <c r="L291" s="61">
        <v>0</v>
      </c>
      <c r="M291" s="94">
        <v>0</v>
      </c>
      <c r="N291" s="10"/>
      <c r="O291" s="9"/>
    </row>
    <row r="292" spans="2:15" ht="33" x14ac:dyDescent="0.25">
      <c r="B292" s="33" t="str">
        <f>'по МК 56'!C43</f>
        <v>Капитальный ремонт автомобильных дорог города Орла на улицах частной жилой застройки: ул. Заречная</v>
      </c>
      <c r="C292" s="125"/>
      <c r="D292" s="69"/>
      <c r="E292" s="176"/>
      <c r="F292" s="86">
        <f t="shared" si="17"/>
        <v>3644</v>
      </c>
      <c r="G292" s="88">
        <f>'по МК 56'!D43/1000</f>
        <v>0.91100000000000003</v>
      </c>
      <c r="H292" s="69">
        <f t="shared" si="16"/>
        <v>7189.37063055</v>
      </c>
      <c r="I292" s="61">
        <v>0</v>
      </c>
      <c r="J292" s="61">
        <v>0</v>
      </c>
      <c r="K292" s="61">
        <f>'по МК 56'!E43/1000</f>
        <v>7189.37063055</v>
      </c>
      <c r="L292" s="61">
        <v>0</v>
      </c>
      <c r="M292" s="94">
        <v>0</v>
      </c>
      <c r="N292" s="10"/>
      <c r="O292" s="9"/>
    </row>
    <row r="293" spans="2:15" ht="33" x14ac:dyDescent="0.25">
      <c r="B293" s="33" t="str">
        <f>'по МК 56'!C44</f>
        <v>Капитальный ремонт автомобильных дорог города Орла на улицах частной жилой застройки: ул. Тимирязева</v>
      </c>
      <c r="C293" s="125"/>
      <c r="D293" s="69"/>
      <c r="E293" s="176"/>
      <c r="F293" s="86">
        <f t="shared" si="17"/>
        <v>3800</v>
      </c>
      <c r="G293" s="88">
        <v>0.95</v>
      </c>
      <c r="H293" s="69">
        <f t="shared" si="16"/>
        <v>7670.7664386000006</v>
      </c>
      <c r="I293" s="61">
        <v>0</v>
      </c>
      <c r="J293" s="61">
        <v>0</v>
      </c>
      <c r="K293" s="61">
        <f>'по МК 56'!E44/1000-0.00001</f>
        <v>7670.7664386000006</v>
      </c>
      <c r="L293" s="61">
        <v>0</v>
      </c>
      <c r="M293" s="94">
        <v>0</v>
      </c>
      <c r="N293" s="10"/>
      <c r="O293" s="9"/>
    </row>
    <row r="294" spans="2:15" ht="33" x14ac:dyDescent="0.25">
      <c r="B294" s="33" t="str">
        <f>'по МК 56'!C45</f>
        <v>Капитальный ремонт автомобильных дорог города Орла на улицах частной жилой застройки: ул. Афонина</v>
      </c>
      <c r="C294" s="125"/>
      <c r="D294" s="69"/>
      <c r="E294" s="176"/>
      <c r="F294" s="86">
        <f t="shared" si="17"/>
        <v>2572</v>
      </c>
      <c r="G294" s="88">
        <f>'по МК 56'!D45/1000</f>
        <v>0.64300000000000002</v>
      </c>
      <c r="H294" s="69">
        <f t="shared" si="16"/>
        <v>5074.3856371499996</v>
      </c>
      <c r="I294" s="61">
        <v>0</v>
      </c>
      <c r="J294" s="61">
        <v>0</v>
      </c>
      <c r="K294" s="61">
        <f>'по МК 56'!E45/1000</f>
        <v>5074.3856371499996</v>
      </c>
      <c r="L294" s="61">
        <v>0</v>
      </c>
      <c r="M294" s="94">
        <v>0</v>
      </c>
      <c r="N294" s="10"/>
      <c r="O294" s="9"/>
    </row>
    <row r="295" spans="2:15" ht="33" x14ac:dyDescent="0.25">
      <c r="B295" s="33" t="str">
        <f>'по МК 56'!C46</f>
        <v>Капитальный ремонт автомобильных дорог города Орла на улицах частной жилой застройки: пер. Пойменный</v>
      </c>
      <c r="C295" s="125"/>
      <c r="D295" s="69"/>
      <c r="E295" s="176"/>
      <c r="F295" s="86">
        <f t="shared" si="17"/>
        <v>1396</v>
      </c>
      <c r="G295" s="88">
        <f>'по МК 56'!D46/1000</f>
        <v>0.34899999999999998</v>
      </c>
      <c r="H295" s="69">
        <f t="shared" si="16"/>
        <v>2754.2155624500001</v>
      </c>
      <c r="I295" s="61">
        <v>0</v>
      </c>
      <c r="J295" s="61">
        <v>0</v>
      </c>
      <c r="K295" s="61">
        <f>'по МК 56'!E46/1000+0.00001</f>
        <v>2754.2155624500001</v>
      </c>
      <c r="L295" s="61">
        <v>0</v>
      </c>
      <c r="M295" s="94">
        <v>0</v>
      </c>
      <c r="N295" s="10"/>
      <c r="O295" s="9"/>
    </row>
    <row r="296" spans="2:15" ht="33" x14ac:dyDescent="0.25">
      <c r="B296" s="33" t="str">
        <f>'по МК 56'!C47</f>
        <v>Капитальный ремонт автомобильных дорог города Орла на улицах частной жилой застройки: пер. Отрадный</v>
      </c>
      <c r="C296" s="125"/>
      <c r="D296" s="69"/>
      <c r="E296" s="176"/>
      <c r="F296" s="86">
        <f t="shared" si="17"/>
        <v>604</v>
      </c>
      <c r="G296" s="88">
        <f>'по МК 56'!D47/1000</f>
        <v>0.151</v>
      </c>
      <c r="H296" s="69">
        <f t="shared" si="16"/>
        <v>1191.6519925499999</v>
      </c>
      <c r="I296" s="61">
        <v>0</v>
      </c>
      <c r="J296" s="61">
        <v>0</v>
      </c>
      <c r="K296" s="61">
        <f>'по МК 56'!E47/1000</f>
        <v>1191.6519925499999</v>
      </c>
      <c r="L296" s="61">
        <v>0</v>
      </c>
      <c r="M296" s="94">
        <v>0</v>
      </c>
      <c r="N296" s="10"/>
      <c r="O296" s="9"/>
    </row>
    <row r="297" spans="2:15" ht="33" customHeight="1" x14ac:dyDescent="0.25">
      <c r="B297" s="33" t="str">
        <f>'по МК 56'!C48</f>
        <v>Капитальный ремонт автомобильных дорог города Орла на улицах частной жилой застройки: ул. Пойменная 1 этап</v>
      </c>
      <c r="C297" s="125"/>
      <c r="D297" s="69"/>
      <c r="E297" s="176"/>
      <c r="F297" s="86">
        <f t="shared" si="17"/>
        <v>1720</v>
      </c>
      <c r="G297" s="88">
        <v>0.43</v>
      </c>
      <c r="H297" s="69">
        <f t="shared" si="16"/>
        <v>7307.7466562999998</v>
      </c>
      <c r="I297" s="61">
        <v>0</v>
      </c>
      <c r="J297" s="61">
        <v>0</v>
      </c>
      <c r="K297" s="61">
        <f>'перечень объектов'!C310</f>
        <v>7307.7466562999998</v>
      </c>
      <c r="L297" s="61">
        <v>0</v>
      </c>
      <c r="M297" s="94">
        <v>0</v>
      </c>
      <c r="N297" s="10"/>
      <c r="O297" s="9"/>
    </row>
    <row r="298" spans="2:15" ht="33" x14ac:dyDescent="0.25">
      <c r="B298" s="33" t="str">
        <f>'по МК 56'!C50</f>
        <v>Капитальный ремонт автомобильных дорог города Орла на улицах частной жилой застройки: пер. Преображенского</v>
      </c>
      <c r="C298" s="125"/>
      <c r="D298" s="69"/>
      <c r="E298" s="176"/>
      <c r="F298" s="86">
        <f t="shared" si="17"/>
        <v>840</v>
      </c>
      <c r="G298" s="88">
        <v>0.21</v>
      </c>
      <c r="H298" s="69">
        <f t="shared" si="16"/>
        <v>1791.4238563500001</v>
      </c>
      <c r="I298" s="61">
        <v>0</v>
      </c>
      <c r="J298" s="61">
        <v>0</v>
      </c>
      <c r="K298" s="61">
        <f>'по МК 56'!E50/1000</f>
        <v>1791.4238563500001</v>
      </c>
      <c r="L298" s="61">
        <v>0</v>
      </c>
      <c r="M298" s="94">
        <v>0</v>
      </c>
      <c r="N298" s="10"/>
      <c r="O298" s="9"/>
    </row>
    <row r="299" spans="2:15" ht="33" x14ac:dyDescent="0.25">
      <c r="B299" s="33" t="str">
        <f>'по МК 56'!C51</f>
        <v>Капитальный ремонт автомобильных дорог города Орла на улицах частной жилой застройки: ул. Радужная</v>
      </c>
      <c r="C299" s="125"/>
      <c r="D299" s="69"/>
      <c r="E299" s="176"/>
      <c r="F299" s="86">
        <f t="shared" si="17"/>
        <v>2312</v>
      </c>
      <c r="G299" s="88">
        <f>'по МК 56'!D51/1000</f>
        <v>0.57799999999999996</v>
      </c>
      <c r="H299" s="69">
        <f t="shared" si="16"/>
        <v>4561.4228588999995</v>
      </c>
      <c r="I299" s="61">
        <v>0</v>
      </c>
      <c r="J299" s="61">
        <v>0</v>
      </c>
      <c r="K299" s="61">
        <f>'по МК 56'!E51/1000</f>
        <v>4561.4228588999995</v>
      </c>
      <c r="L299" s="61">
        <v>0</v>
      </c>
      <c r="M299" s="94">
        <v>0</v>
      </c>
      <c r="N299" s="10"/>
      <c r="O299" s="9"/>
    </row>
    <row r="300" spans="2:15" ht="33" x14ac:dyDescent="0.25">
      <c r="B300" s="33" t="str">
        <f>'по МК 56'!C52</f>
        <v>Капитальный ремонт автомобильных дорог города Орла на улицах частной жилой застройки: Равнинный пер.</v>
      </c>
      <c r="C300" s="125"/>
      <c r="D300" s="69"/>
      <c r="E300" s="176"/>
      <c r="F300" s="86">
        <f t="shared" si="17"/>
        <v>560</v>
      </c>
      <c r="G300" s="88">
        <v>0.14000000000000001</v>
      </c>
      <c r="H300" s="69">
        <f t="shared" si="16"/>
        <v>1365.2701636499999</v>
      </c>
      <c r="I300" s="61">
        <v>0</v>
      </c>
      <c r="J300" s="61">
        <v>0</v>
      </c>
      <c r="K300" s="61">
        <f>'по МК 56'!E52/1000</f>
        <v>1365.2701636499999</v>
      </c>
      <c r="L300" s="61">
        <v>0</v>
      </c>
      <c r="M300" s="94">
        <v>0</v>
      </c>
      <c r="N300" s="10"/>
      <c r="O300" s="9"/>
    </row>
    <row r="301" spans="2:15" ht="33" x14ac:dyDescent="0.25">
      <c r="B301" s="33" t="str">
        <f>'по МК 56'!C53</f>
        <v>Капитальный ремонт автомобильных дорог города Орла на улицах частной жилой застройки: пер. Скульптурный</v>
      </c>
      <c r="C301" s="125"/>
      <c r="D301" s="69"/>
      <c r="E301" s="176"/>
      <c r="F301" s="86">
        <f t="shared" si="17"/>
        <v>532</v>
      </c>
      <c r="G301" s="88">
        <f>'по МК 56'!D53/1000</f>
        <v>0.13300000000000001</v>
      </c>
      <c r="H301" s="69">
        <f t="shared" si="16"/>
        <v>1049.6007616500001</v>
      </c>
      <c r="I301" s="61">
        <v>0</v>
      </c>
      <c r="J301" s="61">
        <v>0</v>
      </c>
      <c r="K301" s="61">
        <f>'по МК 56'!E53/1000</f>
        <v>1049.6007616500001</v>
      </c>
      <c r="L301" s="61">
        <v>0</v>
      </c>
      <c r="M301" s="94">
        <v>0</v>
      </c>
      <c r="N301" s="10"/>
      <c r="O301" s="9"/>
    </row>
    <row r="302" spans="2:15" ht="33" x14ac:dyDescent="0.25">
      <c r="B302" s="33" t="str">
        <f>'по МК 56'!C54</f>
        <v>Капитальный ремонт автомобильных дорог города Орла на улицах частной жилой застройки: пер. Проходной</v>
      </c>
      <c r="C302" s="125"/>
      <c r="D302" s="69"/>
      <c r="E302" s="176"/>
      <c r="F302" s="86">
        <f t="shared" si="17"/>
        <v>492</v>
      </c>
      <c r="G302" s="88">
        <f>'по МК 56'!D54/1000</f>
        <v>0.123</v>
      </c>
      <c r="H302" s="69">
        <f t="shared" si="16"/>
        <v>970.68341114999998</v>
      </c>
      <c r="I302" s="61">
        <v>0</v>
      </c>
      <c r="J302" s="61">
        <v>0</v>
      </c>
      <c r="K302" s="61">
        <f>'по МК 56'!E54/1000</f>
        <v>970.68341114999998</v>
      </c>
      <c r="L302" s="61">
        <v>0</v>
      </c>
      <c r="M302" s="94">
        <v>0</v>
      </c>
      <c r="N302" s="10"/>
      <c r="O302" s="9"/>
    </row>
    <row r="303" spans="2:15" ht="33" x14ac:dyDescent="0.25">
      <c r="B303" s="33" t="str">
        <f>'по МК 56'!C55</f>
        <v>Капитальный ремонт автомобильных дорог города Орла на улицах частной жилой застройки: пер. Заливной</v>
      </c>
      <c r="C303" s="125"/>
      <c r="D303" s="69"/>
      <c r="E303" s="176"/>
      <c r="F303" s="86">
        <f t="shared" si="17"/>
        <v>560</v>
      </c>
      <c r="G303" s="88">
        <v>0.14000000000000001</v>
      </c>
      <c r="H303" s="69">
        <f t="shared" si="16"/>
        <v>1262.6776079999997</v>
      </c>
      <c r="I303" s="61">
        <v>0</v>
      </c>
      <c r="J303" s="61">
        <v>0</v>
      </c>
      <c r="K303" s="61">
        <f>'по МК 56'!E55/1000</f>
        <v>1262.6776079999997</v>
      </c>
      <c r="L303" s="61">
        <v>0</v>
      </c>
      <c r="M303" s="94">
        <v>0</v>
      </c>
      <c r="N303" s="10"/>
      <c r="O303" s="9"/>
    </row>
    <row r="304" spans="2:15" ht="33" x14ac:dyDescent="0.25">
      <c r="B304" s="33" t="str">
        <f>'по МК 56'!C56</f>
        <v>Капитальный ремонт автомобильных дорог города Орла на улицах частной жилой застройки: ул. Преображенского</v>
      </c>
      <c r="C304" s="125"/>
      <c r="D304" s="69"/>
      <c r="E304" s="176"/>
      <c r="F304" s="86">
        <f t="shared" si="17"/>
        <v>3916</v>
      </c>
      <c r="G304" s="88">
        <f>'по МК 56'!D56/1000</f>
        <v>0.97899999999999998</v>
      </c>
      <c r="H304" s="69">
        <f t="shared" si="16"/>
        <v>7726.0086339499994</v>
      </c>
      <c r="I304" s="61">
        <v>0</v>
      </c>
      <c r="J304" s="61">
        <v>0</v>
      </c>
      <c r="K304" s="61">
        <f>'по МК 56'!E56/1000</f>
        <v>7726.0086339499994</v>
      </c>
      <c r="L304" s="61">
        <v>0</v>
      </c>
      <c r="M304" s="94">
        <v>0</v>
      </c>
      <c r="N304" s="10"/>
      <c r="O304" s="9"/>
    </row>
    <row r="305" spans="2:15" ht="33" x14ac:dyDescent="0.25">
      <c r="B305" s="33" t="str">
        <f>'по МК 56'!C57</f>
        <v>Капитальный ремонт автомобильных дорог города Орла на улицах частной жилой застройки: пер. Донской</v>
      </c>
      <c r="C305" s="125"/>
      <c r="D305" s="69"/>
      <c r="E305" s="176"/>
      <c r="F305" s="86">
        <f t="shared" si="17"/>
        <v>1280</v>
      </c>
      <c r="G305" s="88">
        <v>0.32</v>
      </c>
      <c r="H305" s="69">
        <f t="shared" si="16"/>
        <v>5034.9269618999997</v>
      </c>
      <c r="I305" s="61">
        <v>0</v>
      </c>
      <c r="J305" s="61">
        <v>0</v>
      </c>
      <c r="K305" s="61">
        <f>'по МК 56'!E57/1000</f>
        <v>5034.9269618999997</v>
      </c>
      <c r="L305" s="61">
        <v>0</v>
      </c>
      <c r="M305" s="94">
        <v>0</v>
      </c>
      <c r="N305" s="10"/>
      <c r="O305" s="9"/>
    </row>
    <row r="306" spans="2:15" ht="33" x14ac:dyDescent="0.25">
      <c r="B306" s="33" t="str">
        <f>'по МК 56'!C58</f>
        <v>Капитальный ремонт автомобильных дорог города Орла на улицах частной жилой застройки: туп. Стеклянный</v>
      </c>
      <c r="C306" s="125"/>
      <c r="D306" s="69"/>
      <c r="E306" s="176"/>
      <c r="F306" s="86">
        <f t="shared" si="17"/>
        <v>560</v>
      </c>
      <c r="G306" s="88">
        <v>0.14000000000000001</v>
      </c>
      <c r="H306" s="69">
        <f t="shared" si="16"/>
        <v>1459.9709842499999</v>
      </c>
      <c r="I306" s="61">
        <v>0</v>
      </c>
      <c r="J306" s="61">
        <v>0</v>
      </c>
      <c r="K306" s="61">
        <f>'по МК 56'!E58/1000</f>
        <v>1459.9709842499999</v>
      </c>
      <c r="L306" s="61">
        <v>0</v>
      </c>
      <c r="M306" s="94">
        <v>0</v>
      </c>
      <c r="N306" s="10"/>
      <c r="O306" s="9"/>
    </row>
    <row r="307" spans="2:15" ht="33" x14ac:dyDescent="0.25">
      <c r="B307" s="33" t="str">
        <f>'по МК 56'!C59</f>
        <v>Капитальный ремонт автомобильных дорог города Орла на улицах частной жилой застройки: пер. Стеклянный</v>
      </c>
      <c r="C307" s="125"/>
      <c r="D307" s="69"/>
      <c r="E307" s="176"/>
      <c r="F307" s="86">
        <f t="shared" si="17"/>
        <v>420</v>
      </c>
      <c r="G307" s="88">
        <f>'по МК 56'!D59/1000</f>
        <v>0.105</v>
      </c>
      <c r="H307" s="69">
        <f t="shared" si="16"/>
        <v>828.63218024999981</v>
      </c>
      <c r="I307" s="61">
        <v>0</v>
      </c>
      <c r="J307" s="61">
        <v>0</v>
      </c>
      <c r="K307" s="61">
        <f>'по МК 56'!E59/1000</f>
        <v>828.63218024999981</v>
      </c>
      <c r="L307" s="61">
        <v>0</v>
      </c>
      <c r="M307" s="94">
        <v>0</v>
      </c>
      <c r="N307" s="10"/>
      <c r="O307" s="9"/>
    </row>
    <row r="308" spans="2:15" ht="33" x14ac:dyDescent="0.25">
      <c r="B308" s="33" t="str">
        <f>'по МК 56'!C60</f>
        <v>Капитальный ремонт автомобильных дорог города Орла на улицах частной жилой застройки: пер. Игрушечный</v>
      </c>
      <c r="C308" s="125"/>
      <c r="D308" s="69"/>
      <c r="E308" s="176"/>
      <c r="F308" s="86">
        <f t="shared" si="17"/>
        <v>1240</v>
      </c>
      <c r="G308" s="88">
        <v>0.31</v>
      </c>
      <c r="H308" s="69">
        <f t="shared" si="16"/>
        <v>2549.0304211499997</v>
      </c>
      <c r="I308" s="61">
        <v>0</v>
      </c>
      <c r="J308" s="61">
        <v>0</v>
      </c>
      <c r="K308" s="61">
        <f>'по МК 56'!E60/1000</f>
        <v>2549.0304211499997</v>
      </c>
      <c r="L308" s="61">
        <v>0</v>
      </c>
      <c r="M308" s="94">
        <v>0</v>
      </c>
      <c r="N308" s="10"/>
      <c r="O308" s="9"/>
    </row>
    <row r="309" spans="2:15" ht="33" x14ac:dyDescent="0.25">
      <c r="B309" s="33" t="str">
        <f>'по МК 56'!C61</f>
        <v>Капитальный ремонт автомобильных дорог города Орла на улицах частной жилой застройки: туп. Линейный</v>
      </c>
      <c r="C309" s="125"/>
      <c r="D309" s="69"/>
      <c r="E309" s="176"/>
      <c r="F309" s="86">
        <f t="shared" si="17"/>
        <v>800</v>
      </c>
      <c r="G309" s="88">
        <v>0.2</v>
      </c>
      <c r="H309" s="69">
        <f t="shared" si="16"/>
        <v>2391.1957201499999</v>
      </c>
      <c r="I309" s="61">
        <v>0</v>
      </c>
      <c r="J309" s="61">
        <v>0</v>
      </c>
      <c r="K309" s="61">
        <f>'по МК 56'!E61/1000</f>
        <v>2391.1957201499999</v>
      </c>
      <c r="L309" s="61">
        <v>0</v>
      </c>
      <c r="M309" s="94">
        <v>0</v>
      </c>
      <c r="N309" s="10"/>
      <c r="O309" s="9"/>
    </row>
    <row r="310" spans="2:15" ht="33" x14ac:dyDescent="0.25">
      <c r="B310" s="33" t="str">
        <f>'по МК 56'!C62</f>
        <v>Капитальный ремонт автомобильных дорог города Орла на улицах частной жилой застройки: ул. Чкалова</v>
      </c>
      <c r="C310" s="125"/>
      <c r="D310" s="69"/>
      <c r="E310" s="176"/>
      <c r="F310" s="86">
        <f t="shared" si="17"/>
        <v>6000</v>
      </c>
      <c r="G310" s="88">
        <f>'по МК 56'!D62/1000</f>
        <v>1.5</v>
      </c>
      <c r="H310" s="69">
        <f t="shared" si="16"/>
        <v>11837.602574999999</v>
      </c>
      <c r="I310" s="61">
        <v>0</v>
      </c>
      <c r="J310" s="61">
        <v>0</v>
      </c>
      <c r="K310" s="61">
        <f>'по МК 56'!E62/1000</f>
        <v>11837.602574999999</v>
      </c>
      <c r="L310" s="61">
        <v>0</v>
      </c>
      <c r="M310" s="94">
        <v>0</v>
      </c>
      <c r="N310" s="10"/>
      <c r="O310" s="9"/>
    </row>
    <row r="311" spans="2:15" ht="33" x14ac:dyDescent="0.25">
      <c r="B311" s="33" t="str">
        <f>'по МК 56'!C63</f>
        <v>Капитальный ремонт автомобильных дорог города Орла на улицах частной жилой застройки: ул. Станционная</v>
      </c>
      <c r="C311" s="125"/>
      <c r="D311" s="69"/>
      <c r="E311" s="176"/>
      <c r="F311" s="86">
        <f t="shared" si="17"/>
        <v>3508</v>
      </c>
      <c r="G311" s="88">
        <f>'по МК 56'!D63/1000</f>
        <v>0.877</v>
      </c>
      <c r="H311" s="69">
        <f t="shared" si="16"/>
        <v>6921.05163885</v>
      </c>
      <c r="I311" s="61">
        <v>0</v>
      </c>
      <c r="J311" s="61">
        <v>0</v>
      </c>
      <c r="K311" s="61">
        <f>'по МК 56'!E63/1000</f>
        <v>6921.05163885</v>
      </c>
      <c r="L311" s="61">
        <v>0</v>
      </c>
      <c r="M311" s="94">
        <v>0</v>
      </c>
      <c r="N311" s="10"/>
      <c r="O311" s="9"/>
    </row>
    <row r="312" spans="2:15" ht="33" x14ac:dyDescent="0.25">
      <c r="B312" s="33" t="str">
        <f>'по МК 56'!C64</f>
        <v>Капитальный ремонт автомобильных дорог города Орла на улицах частной жилой застройки: ул. Лесопильная</v>
      </c>
      <c r="C312" s="125"/>
      <c r="D312" s="69"/>
      <c r="E312" s="176"/>
      <c r="F312" s="86">
        <f t="shared" si="17"/>
        <v>4000</v>
      </c>
      <c r="G312" s="88">
        <f>'по МК 56'!D64/1000</f>
        <v>1</v>
      </c>
      <c r="H312" s="69">
        <f t="shared" si="16"/>
        <v>7891.7350500000002</v>
      </c>
      <c r="I312" s="61">
        <v>0</v>
      </c>
      <c r="J312" s="61">
        <v>0</v>
      </c>
      <c r="K312" s="61">
        <f>'по МК 56'!E64/1000</f>
        <v>7891.7350500000002</v>
      </c>
      <c r="L312" s="61">
        <v>0</v>
      </c>
      <c r="M312" s="94">
        <v>0</v>
      </c>
      <c r="N312" s="10"/>
      <c r="O312" s="9"/>
    </row>
    <row r="313" spans="2:15" ht="33" x14ac:dyDescent="0.25">
      <c r="B313" s="33" t="str">
        <f>'по МК 56'!C65</f>
        <v>Капитальный ремонт автомобильных дорог города Орла на улицах частной жилой застройки: ул. Деревообделочная</v>
      </c>
      <c r="C313" s="125"/>
      <c r="D313" s="69"/>
      <c r="E313" s="176"/>
      <c r="F313" s="86">
        <f t="shared" si="17"/>
        <v>4000</v>
      </c>
      <c r="G313" s="88">
        <f>'по МК 56'!D65/1000</f>
        <v>1</v>
      </c>
      <c r="H313" s="69">
        <f t="shared" ref="H313:H336" si="18">SUM(I313:M313)</f>
        <v>7891.7350500000002</v>
      </c>
      <c r="I313" s="61">
        <v>0</v>
      </c>
      <c r="J313" s="61">
        <v>0</v>
      </c>
      <c r="K313" s="61">
        <f>'по МК 56'!E65/1000</f>
        <v>7891.7350500000002</v>
      </c>
      <c r="L313" s="61">
        <v>0</v>
      </c>
      <c r="M313" s="94">
        <v>0</v>
      </c>
      <c r="N313" s="10"/>
      <c r="O313" s="9"/>
    </row>
    <row r="314" spans="2:15" ht="33" x14ac:dyDescent="0.25">
      <c r="B314" s="33" t="str">
        <f>'по МК 56'!C66</f>
        <v>Капитальный ремонт автомобильных дорог города Орла на улицах частной жилой застройки: ул. Шульгина 1 этап</v>
      </c>
      <c r="C314" s="125"/>
      <c r="D314" s="69"/>
      <c r="E314" s="176"/>
      <c r="F314" s="86">
        <f t="shared" si="17"/>
        <v>6380</v>
      </c>
      <c r="G314" s="88">
        <f>'по МК 56'!D66/1000+1.3</f>
        <v>1.595</v>
      </c>
      <c r="H314" s="69">
        <f t="shared" si="18"/>
        <v>12587.31740475</v>
      </c>
      <c r="I314" s="61">
        <v>0</v>
      </c>
      <c r="J314" s="61">
        <v>0</v>
      </c>
      <c r="K314" s="61">
        <f>'перечень объектов'!C327</f>
        <v>12587.31740475</v>
      </c>
      <c r="L314" s="61">
        <v>0</v>
      </c>
      <c r="M314" s="94">
        <v>0</v>
      </c>
      <c r="N314" s="10"/>
      <c r="O314" s="9"/>
    </row>
    <row r="315" spans="2:15" ht="33" x14ac:dyDescent="0.25">
      <c r="B315" s="33" t="str">
        <f>'по МК 56'!C68</f>
        <v>Капитальный ремонт автомобильных дорог города Орла на улицах частной жилой застройки: ул. Крестьянская</v>
      </c>
      <c r="C315" s="125"/>
      <c r="D315" s="69"/>
      <c r="E315" s="176"/>
      <c r="F315" s="86">
        <f t="shared" si="17"/>
        <v>148</v>
      </c>
      <c r="G315" s="88">
        <v>3.6999999999999998E-2</v>
      </c>
      <c r="H315" s="69">
        <f t="shared" si="18"/>
        <v>3724.8989435999997</v>
      </c>
      <c r="I315" s="61">
        <v>0</v>
      </c>
      <c r="J315" s="61">
        <v>0</v>
      </c>
      <c r="K315" s="61">
        <f>'по МК 56'!E68/1000</f>
        <v>3724.8989435999997</v>
      </c>
      <c r="L315" s="61">
        <v>0</v>
      </c>
      <c r="M315" s="94">
        <v>0</v>
      </c>
      <c r="N315" s="10"/>
      <c r="O315" s="9"/>
    </row>
    <row r="316" spans="2:15" ht="33" x14ac:dyDescent="0.25">
      <c r="B316" s="33" t="str">
        <f>'по МК 56'!C69</f>
        <v>Капитальный ремонт автомобильных дорог города Орла на улицах частной жилой застройки: пер. Смоленский</v>
      </c>
      <c r="C316" s="125"/>
      <c r="D316" s="69"/>
      <c r="E316" s="176"/>
      <c r="F316" s="86">
        <f t="shared" si="17"/>
        <v>1372</v>
      </c>
      <c r="G316" s="88">
        <v>0.34300000000000003</v>
      </c>
      <c r="H316" s="69">
        <f t="shared" si="18"/>
        <v>2706.8651221500004</v>
      </c>
      <c r="I316" s="61">
        <v>0</v>
      </c>
      <c r="J316" s="61">
        <v>0</v>
      </c>
      <c r="K316" s="61">
        <f>'по МК 56'!E69/1000</f>
        <v>2706.8651221500004</v>
      </c>
      <c r="L316" s="61">
        <v>0</v>
      </c>
      <c r="M316" s="94">
        <v>0</v>
      </c>
      <c r="N316" s="10"/>
      <c r="O316" s="9"/>
    </row>
    <row r="317" spans="2:15" ht="33" x14ac:dyDescent="0.25">
      <c r="B317" s="33" t="str">
        <f>'по МК 56'!C70</f>
        <v>Капитальный ремонт автомобильных дорог города Орла на улицах частной жилой застройки: ул. Текстильная</v>
      </c>
      <c r="C317" s="125"/>
      <c r="D317" s="69"/>
      <c r="E317" s="176"/>
      <c r="F317" s="86">
        <f t="shared" si="17"/>
        <v>1080</v>
      </c>
      <c r="G317" s="88">
        <v>0.27</v>
      </c>
      <c r="H317" s="69">
        <f t="shared" si="18"/>
        <v>3582.8477427000003</v>
      </c>
      <c r="I317" s="61">
        <v>0</v>
      </c>
      <c r="J317" s="61">
        <v>0</v>
      </c>
      <c r="K317" s="61">
        <f>'по МК 56'!E70/1000+0.00001</f>
        <v>3582.8477427000003</v>
      </c>
      <c r="L317" s="61">
        <v>0</v>
      </c>
      <c r="M317" s="94">
        <v>0</v>
      </c>
      <c r="N317" s="10"/>
      <c r="O317" s="9"/>
    </row>
    <row r="318" spans="2:15" ht="33" x14ac:dyDescent="0.25">
      <c r="B318" s="33" t="str">
        <f>'по МК 56'!C71</f>
        <v>Капитальный ремонт автомобильных дорог города Орла на улицах частной жилой застройки: ул. Лазо</v>
      </c>
      <c r="C318" s="125"/>
      <c r="D318" s="69"/>
      <c r="E318" s="176"/>
      <c r="F318" s="86">
        <f t="shared" si="17"/>
        <v>1312</v>
      </c>
      <c r="G318" s="88">
        <f>'по МК 56'!D71/1000</f>
        <v>0.32800000000000001</v>
      </c>
      <c r="H318" s="69">
        <f t="shared" si="18"/>
        <v>9379.69362</v>
      </c>
      <c r="I318" s="61">
        <v>0</v>
      </c>
      <c r="J318" s="61">
        <v>0</v>
      </c>
      <c r="K318" s="61">
        <f>'перечень объектов'!C331</f>
        <v>9379.69362</v>
      </c>
      <c r="L318" s="61">
        <v>0</v>
      </c>
      <c r="M318" s="94">
        <v>0</v>
      </c>
      <c r="N318" s="10"/>
      <c r="O318" s="9"/>
    </row>
    <row r="319" spans="2:15" ht="33" x14ac:dyDescent="0.25">
      <c r="B319" s="33" t="str">
        <f>'по МК 56'!C74</f>
        <v>Капитальный ремонт автомобильных дорог города Орла на улицах частной жилой застройки: пер. Кировский</v>
      </c>
      <c r="C319" s="125"/>
      <c r="D319" s="69"/>
      <c r="E319" s="176"/>
      <c r="F319" s="86">
        <f t="shared" si="17"/>
        <v>1256</v>
      </c>
      <c r="G319" s="88">
        <f>'по МК 56'!D74/1000</f>
        <v>0.314</v>
      </c>
      <c r="H319" s="69">
        <f t="shared" si="18"/>
        <v>2545.46108</v>
      </c>
      <c r="I319" s="61">
        <v>0</v>
      </c>
      <c r="J319" s="61">
        <v>0</v>
      </c>
      <c r="K319" s="69">
        <v>0</v>
      </c>
      <c r="L319" s="61">
        <f>'перечень объектов'!C366</f>
        <v>2545.46108</v>
      </c>
      <c r="M319" s="94">
        <v>0</v>
      </c>
      <c r="N319" s="10"/>
      <c r="O319" s="9"/>
    </row>
    <row r="320" spans="2:15" ht="33" x14ac:dyDescent="0.25">
      <c r="B320" s="33" t="str">
        <f>'по МК 56'!C75</f>
        <v>Капитальный ремонт автомобильных дорог города Орла на улицах частной жилой застройки: ул. Контактная</v>
      </c>
      <c r="C320" s="125"/>
      <c r="D320" s="69"/>
      <c r="E320" s="176"/>
      <c r="F320" s="86">
        <f t="shared" ref="F320:F376" si="19">G320*4*1000</f>
        <v>2152</v>
      </c>
      <c r="G320" s="88">
        <f>'по МК 56'!D75/1000</f>
        <v>0.53800000000000003</v>
      </c>
      <c r="H320" s="69">
        <f t="shared" si="18"/>
        <v>4245.7534599999999</v>
      </c>
      <c r="I320" s="61">
        <v>0</v>
      </c>
      <c r="J320" s="61">
        <v>0</v>
      </c>
      <c r="K320" s="69">
        <v>0</v>
      </c>
      <c r="L320" s="61">
        <f>'перечень объектов'!C367</f>
        <v>4245.7534599999999</v>
      </c>
      <c r="M320" s="94">
        <v>0</v>
      </c>
      <c r="N320" s="10"/>
      <c r="O320" s="9"/>
    </row>
    <row r="321" spans="2:15" ht="33" x14ac:dyDescent="0.25">
      <c r="B321" s="33" t="str">
        <f>'по МК 56'!C76</f>
        <v>Капитальный ремонт автомобильных дорог города Орла на улицах частной жилой застройки: пер. Тепловозный</v>
      </c>
      <c r="C321" s="125"/>
      <c r="D321" s="69"/>
      <c r="E321" s="176"/>
      <c r="F321" s="86">
        <f t="shared" si="19"/>
        <v>824</v>
      </c>
      <c r="G321" s="88">
        <f>'по МК 56'!D76/1000</f>
        <v>0.20599999999999999</v>
      </c>
      <c r="H321" s="69">
        <f t="shared" si="18"/>
        <v>1625.6974203</v>
      </c>
      <c r="I321" s="61">
        <v>0</v>
      </c>
      <c r="J321" s="61">
        <v>0</v>
      </c>
      <c r="K321" s="61">
        <v>0</v>
      </c>
      <c r="L321" s="69">
        <f>'по МК 56'!E76/1000</f>
        <v>1625.6974203</v>
      </c>
      <c r="M321" s="94">
        <v>0</v>
      </c>
      <c r="N321" s="10"/>
      <c r="O321" s="9"/>
    </row>
    <row r="322" spans="2:15" ht="33" x14ac:dyDescent="0.25">
      <c r="B322" s="33" t="str">
        <f>'по МК 56'!C77</f>
        <v>Капитальный ремонт автомобильных дорог города Орла на улицах частной жилой застройки: ул. Полтавская</v>
      </c>
      <c r="C322" s="125"/>
      <c r="D322" s="69"/>
      <c r="E322" s="176"/>
      <c r="F322" s="86">
        <f t="shared" si="19"/>
        <v>768</v>
      </c>
      <c r="G322" s="88">
        <f>'по МК 56'!D77/1000</f>
        <v>0.192</v>
      </c>
      <c r="H322" s="69">
        <f t="shared" si="18"/>
        <v>1515.2131295999998</v>
      </c>
      <c r="I322" s="61">
        <v>0</v>
      </c>
      <c r="J322" s="61">
        <v>0</v>
      </c>
      <c r="K322" s="61">
        <v>0</v>
      </c>
      <c r="L322" s="69">
        <f>'по МК 56'!E77/1000</f>
        <v>1515.2131295999998</v>
      </c>
      <c r="M322" s="94">
        <v>0</v>
      </c>
      <c r="N322" s="10"/>
      <c r="O322" s="9"/>
    </row>
    <row r="323" spans="2:15" ht="33" x14ac:dyDescent="0.25">
      <c r="B323" s="33" t="str">
        <f>'по МК 56'!C78</f>
        <v>Капитальный ремонт автомобильных дорог города Орла на улицах частной жилой застройки: ул. Андриабужная</v>
      </c>
      <c r="C323" s="125"/>
      <c r="D323" s="69"/>
      <c r="E323" s="176"/>
      <c r="F323" s="86">
        <f t="shared" si="19"/>
        <v>3540</v>
      </c>
      <c r="G323" s="88">
        <v>0.88500000000000001</v>
      </c>
      <c r="H323" s="69">
        <f t="shared" si="18"/>
        <v>13415.949584999998</v>
      </c>
      <c r="I323" s="61">
        <v>0</v>
      </c>
      <c r="J323" s="61">
        <v>0</v>
      </c>
      <c r="K323" s="61">
        <v>0</v>
      </c>
      <c r="L323" s="69">
        <f>'по МК 56'!E78/1000</f>
        <v>13415.949584999998</v>
      </c>
      <c r="M323" s="94">
        <v>0</v>
      </c>
      <c r="N323" s="10"/>
      <c r="O323" s="9"/>
    </row>
    <row r="324" spans="2:15" ht="33" x14ac:dyDescent="0.25">
      <c r="B324" s="33" t="str">
        <f>'по МК 56'!C79</f>
        <v>Капитальный ремонт автомобильных дорог города Орла на улицах частной жилой застройки: пер. Самарский</v>
      </c>
      <c r="C324" s="125"/>
      <c r="D324" s="69"/>
      <c r="E324" s="176"/>
      <c r="F324" s="86">
        <f t="shared" si="19"/>
        <v>736</v>
      </c>
      <c r="G324" s="88">
        <f>'по МК 56'!D79/1000</f>
        <v>0.184</v>
      </c>
      <c r="H324" s="69">
        <f t="shared" si="18"/>
        <v>1452.0792492</v>
      </c>
      <c r="I324" s="61">
        <v>0</v>
      </c>
      <c r="J324" s="61">
        <v>0</v>
      </c>
      <c r="K324" s="61">
        <v>0</v>
      </c>
      <c r="L324" s="69">
        <f>'по МК 56'!E79/1000</f>
        <v>1452.0792492</v>
      </c>
      <c r="M324" s="94">
        <v>0</v>
      </c>
      <c r="N324" s="10"/>
      <c r="O324" s="9"/>
    </row>
    <row r="325" spans="2:15" ht="33" x14ac:dyDescent="0.25">
      <c r="B325" s="33" t="str">
        <f>'по МК 56'!C80</f>
        <v>Капитальный ремонт автомобильных дорог города Орла на улицах частной жилой застройки: ул. Пришвина</v>
      </c>
      <c r="C325" s="125"/>
      <c r="D325" s="69"/>
      <c r="E325" s="176"/>
      <c r="F325" s="86">
        <f t="shared" si="19"/>
        <v>1428</v>
      </c>
      <c r="G325" s="88">
        <f>'по МК 56'!D80/1000</f>
        <v>0.35699999999999998</v>
      </c>
      <c r="H325" s="69">
        <f t="shared" si="18"/>
        <v>2817.3494128500001</v>
      </c>
      <c r="I325" s="61">
        <v>0</v>
      </c>
      <c r="J325" s="61">
        <v>0</v>
      </c>
      <c r="K325" s="61">
        <v>0</v>
      </c>
      <c r="L325" s="69">
        <f>'по МК 56'!E80/1000</f>
        <v>2817.3494128500001</v>
      </c>
      <c r="M325" s="94">
        <v>0</v>
      </c>
      <c r="N325" s="10"/>
      <c r="O325" s="9"/>
    </row>
    <row r="326" spans="2:15" ht="33" x14ac:dyDescent="0.25">
      <c r="B326" s="33" t="str">
        <f>'по МК 56'!C81</f>
        <v>Капитальный ремонт автомобильных дорог города Орла на улицах частной жилой застройки: ул. Электровозная</v>
      </c>
      <c r="C326" s="125"/>
      <c r="D326" s="69"/>
      <c r="E326" s="176"/>
      <c r="F326" s="86">
        <f t="shared" si="19"/>
        <v>3408</v>
      </c>
      <c r="G326" s="88">
        <f>'по МК 56'!D81/1000</f>
        <v>0.85199999999999998</v>
      </c>
      <c r="H326" s="69">
        <f t="shared" si="18"/>
        <v>6723.7582626000003</v>
      </c>
      <c r="I326" s="61">
        <v>0</v>
      </c>
      <c r="J326" s="61">
        <v>0</v>
      </c>
      <c r="K326" s="61">
        <v>0</v>
      </c>
      <c r="L326" s="69">
        <f>'по МК 56'!E81/1000</f>
        <v>6723.7582626000003</v>
      </c>
      <c r="M326" s="94">
        <v>0</v>
      </c>
      <c r="N326" s="10"/>
      <c r="O326" s="9"/>
    </row>
    <row r="327" spans="2:15" ht="33" x14ac:dyDescent="0.25">
      <c r="B327" s="33" t="str">
        <f>'по МК 56'!C82</f>
        <v>Капитальный ремонт автомобильных дорог города Орла на улицах частной жилой застройки: туп. Медведевский</v>
      </c>
      <c r="C327" s="125"/>
      <c r="D327" s="69"/>
      <c r="E327" s="176"/>
      <c r="F327" s="86">
        <f t="shared" si="19"/>
        <v>884</v>
      </c>
      <c r="G327" s="88">
        <f>'по МК 56'!D82/1000</f>
        <v>0.221</v>
      </c>
      <c r="H327" s="69">
        <f t="shared" si="18"/>
        <v>1744.0734260500001</v>
      </c>
      <c r="I327" s="61">
        <v>0</v>
      </c>
      <c r="J327" s="61">
        <v>0</v>
      </c>
      <c r="K327" s="61">
        <v>0</v>
      </c>
      <c r="L327" s="69">
        <f>'по МК 56'!E82/1000-0.00001</f>
        <v>1744.0734260500001</v>
      </c>
      <c r="M327" s="94">
        <v>0</v>
      </c>
      <c r="N327" s="10"/>
      <c r="O327" s="9"/>
    </row>
    <row r="328" spans="2:15" ht="33" x14ac:dyDescent="0.25">
      <c r="B328" s="33" t="str">
        <f>'по МК 56'!C83</f>
        <v>Капитальный ремонт автомобильных дорог города Орла на улицах частной жилой застройки: пер. Торцовый</v>
      </c>
      <c r="C328" s="125"/>
      <c r="D328" s="69"/>
      <c r="E328" s="176"/>
      <c r="F328" s="86">
        <f t="shared" si="19"/>
        <v>1180</v>
      </c>
      <c r="G328" s="88">
        <f>'по МК 56'!D83/1000</f>
        <v>0.29499999999999998</v>
      </c>
      <c r="H328" s="69">
        <f t="shared" si="18"/>
        <v>2328.0618397499998</v>
      </c>
      <c r="I328" s="61">
        <v>0</v>
      </c>
      <c r="J328" s="61">
        <v>0</v>
      </c>
      <c r="K328" s="61">
        <v>0</v>
      </c>
      <c r="L328" s="69">
        <f>'по МК 56'!E83/1000</f>
        <v>2328.0618397499998</v>
      </c>
      <c r="M328" s="94">
        <v>0</v>
      </c>
      <c r="N328" s="10"/>
      <c r="O328" s="9"/>
    </row>
    <row r="329" spans="2:15" ht="33" x14ac:dyDescent="0.25">
      <c r="B329" s="33" t="str">
        <f>'по МК 56'!C84</f>
        <v>Капитальный ремонт автомобильных дорог города Орла на улицах частной жилой застройки: пер. Шахматный</v>
      </c>
      <c r="C329" s="125"/>
      <c r="D329" s="69"/>
      <c r="E329" s="176"/>
      <c r="F329" s="86">
        <f t="shared" si="19"/>
        <v>920</v>
      </c>
      <c r="G329" s="88">
        <f>'по МК 56'!D84/1000</f>
        <v>0.23</v>
      </c>
      <c r="H329" s="69">
        <f t="shared" si="18"/>
        <v>1815.0990614999998</v>
      </c>
      <c r="I329" s="61">
        <v>0</v>
      </c>
      <c r="J329" s="61">
        <v>0</v>
      </c>
      <c r="K329" s="61">
        <v>0</v>
      </c>
      <c r="L329" s="69">
        <f>'по МК 56'!E84/1000</f>
        <v>1815.0990614999998</v>
      </c>
      <c r="M329" s="94">
        <v>0</v>
      </c>
      <c r="N329" s="10"/>
      <c r="O329" s="9"/>
    </row>
    <row r="330" spans="2:15" ht="33" x14ac:dyDescent="0.25">
      <c r="B330" s="33" t="str">
        <f>'по МК 56'!C85</f>
        <v>Капитальный ремонт автомобильных дорог города Орла на улицах частной жилой застройки: проезд Парковый</v>
      </c>
      <c r="C330" s="125"/>
      <c r="D330" s="69"/>
      <c r="E330" s="176"/>
      <c r="F330" s="86">
        <f t="shared" si="19"/>
        <v>1000</v>
      </c>
      <c r="G330" s="88">
        <f>'по МК 56'!D85/1000</f>
        <v>0.25</v>
      </c>
      <c r="H330" s="69">
        <f t="shared" si="18"/>
        <v>1972.9337625000001</v>
      </c>
      <c r="I330" s="61">
        <v>0</v>
      </c>
      <c r="J330" s="61">
        <v>0</v>
      </c>
      <c r="K330" s="61">
        <v>0</v>
      </c>
      <c r="L330" s="69">
        <f>'по МК 56'!E85/1000</f>
        <v>1972.9337625000001</v>
      </c>
      <c r="M330" s="94">
        <v>0</v>
      </c>
      <c r="N330" s="10"/>
      <c r="O330" s="9"/>
    </row>
    <row r="331" spans="2:15" ht="33" x14ac:dyDescent="0.25">
      <c r="B331" s="33" t="str">
        <f>'по МК 56'!C86</f>
        <v>Капитальный ремонт автомобильных дорог города Орла на улицах частной жилой застройки: пер. Прядильный</v>
      </c>
      <c r="C331" s="125"/>
      <c r="D331" s="69"/>
      <c r="E331" s="176"/>
      <c r="F331" s="86">
        <f t="shared" si="19"/>
        <v>776</v>
      </c>
      <c r="G331" s="88">
        <f>'по МК 56'!D86/1000</f>
        <v>0.19400000000000001</v>
      </c>
      <c r="H331" s="69">
        <f t="shared" si="18"/>
        <v>1530.9965996999999</v>
      </c>
      <c r="I331" s="61">
        <v>0</v>
      </c>
      <c r="J331" s="61">
        <v>0</v>
      </c>
      <c r="K331" s="61">
        <v>0</v>
      </c>
      <c r="L331" s="69">
        <f>'по МК 56'!E86/1000</f>
        <v>1530.9965996999999</v>
      </c>
      <c r="M331" s="94">
        <v>0</v>
      </c>
      <c r="N331" s="10"/>
      <c r="O331" s="9"/>
    </row>
    <row r="332" spans="2:15" ht="33" x14ac:dyDescent="0.25">
      <c r="B332" s="33" t="str">
        <f>'по МК 56'!C87</f>
        <v>Капитальный ремонт автомобильных дорог города Орла на улицах частной жилой застройки: пер. Локомотивный</v>
      </c>
      <c r="C332" s="125"/>
      <c r="D332" s="69"/>
      <c r="E332" s="176"/>
      <c r="F332" s="86">
        <f t="shared" si="19"/>
        <v>1212</v>
      </c>
      <c r="G332" s="88">
        <f>'по МК 56'!D87/1000</f>
        <v>0.30299999999999999</v>
      </c>
      <c r="H332" s="69">
        <f t="shared" si="18"/>
        <v>2391.1957201499999</v>
      </c>
      <c r="I332" s="61">
        <v>0</v>
      </c>
      <c r="J332" s="61">
        <v>0</v>
      </c>
      <c r="K332" s="61">
        <v>0</v>
      </c>
      <c r="L332" s="69">
        <f>'по МК 56'!E87/1000</f>
        <v>2391.1957201499999</v>
      </c>
      <c r="M332" s="94">
        <v>0</v>
      </c>
      <c r="N332" s="10"/>
      <c r="O332" s="9"/>
    </row>
    <row r="333" spans="2:15" ht="33" x14ac:dyDescent="0.25">
      <c r="B333" s="33" t="str">
        <f>'по МК 56'!C88</f>
        <v>Капитальный ремонт автомобильных дорог города Орла на улицах частной жилой застройки: пер. Вагонный</v>
      </c>
      <c r="C333" s="125"/>
      <c r="D333" s="69"/>
      <c r="E333" s="176"/>
      <c r="F333" s="86">
        <f t="shared" si="19"/>
        <v>716</v>
      </c>
      <c r="G333" s="88">
        <f>'по МК 56'!D88/1000</f>
        <v>0.17899999999999999</v>
      </c>
      <c r="H333" s="69">
        <f t="shared" si="18"/>
        <v>1412.62060395</v>
      </c>
      <c r="I333" s="61">
        <v>0</v>
      </c>
      <c r="J333" s="61">
        <v>0</v>
      </c>
      <c r="K333" s="61">
        <v>0</v>
      </c>
      <c r="L333" s="69">
        <f>'по МК 56'!E88/1000+0.00001</f>
        <v>1412.62060395</v>
      </c>
      <c r="M333" s="94">
        <v>0</v>
      </c>
      <c r="N333" s="10"/>
      <c r="O333" s="9"/>
    </row>
    <row r="334" spans="2:15" ht="33" x14ac:dyDescent="0.25">
      <c r="B334" s="33" t="str">
        <f>'по МК 56'!C89</f>
        <v>Капитальный ремонт автомобильных дорог города Орла на улицах частной жилой застройки: пер. Бригадный</v>
      </c>
      <c r="C334" s="125"/>
      <c r="D334" s="69"/>
      <c r="E334" s="176"/>
      <c r="F334" s="86">
        <f t="shared" si="19"/>
        <v>852</v>
      </c>
      <c r="G334" s="88">
        <f>'по МК 56'!D89/1000</f>
        <v>0.21299999999999999</v>
      </c>
      <c r="H334" s="69">
        <f t="shared" si="18"/>
        <v>1680.9395656500001</v>
      </c>
      <c r="I334" s="61">
        <v>0</v>
      </c>
      <c r="J334" s="61">
        <v>0</v>
      </c>
      <c r="K334" s="61">
        <v>0</v>
      </c>
      <c r="L334" s="69">
        <f>'по МК 56'!E89/1000</f>
        <v>1680.9395656500001</v>
      </c>
      <c r="M334" s="94">
        <v>0</v>
      </c>
      <c r="N334" s="10"/>
      <c r="O334" s="9"/>
    </row>
    <row r="335" spans="2:15" ht="33" x14ac:dyDescent="0.25">
      <c r="B335" s="33" t="str">
        <f>'по МК 56'!C90</f>
        <v>Капитальный ремонт автомобильных дорог города Орла на улицах частной жилой застройки: пер. Хлебный</v>
      </c>
      <c r="C335" s="125"/>
      <c r="D335" s="69"/>
      <c r="E335" s="176"/>
      <c r="F335" s="86">
        <f t="shared" si="19"/>
        <v>2008</v>
      </c>
      <c r="G335" s="88">
        <f>'по МК 56'!D90/1000</f>
        <v>0.502</v>
      </c>
      <c r="H335" s="69">
        <f t="shared" si="18"/>
        <v>3961.6509950999994</v>
      </c>
      <c r="I335" s="61">
        <v>0</v>
      </c>
      <c r="J335" s="61">
        <v>0</v>
      </c>
      <c r="K335" s="61">
        <v>0</v>
      </c>
      <c r="L335" s="69">
        <f>'по МК 56'!E90/1000</f>
        <v>3961.6509950999994</v>
      </c>
      <c r="M335" s="94">
        <v>0</v>
      </c>
      <c r="N335" s="10"/>
      <c r="O335" s="9"/>
    </row>
    <row r="336" spans="2:15" ht="33" x14ac:dyDescent="0.25">
      <c r="B336" s="33" t="str">
        <f>'по МК 56'!C91</f>
        <v>Капитальный ремонт автомобильных дорог города Орла на улицах частной жилой застройки: пер. Тупиковый</v>
      </c>
      <c r="C336" s="125"/>
      <c r="D336" s="69"/>
      <c r="E336" s="176"/>
      <c r="F336" s="86">
        <f t="shared" si="19"/>
        <v>704</v>
      </c>
      <c r="G336" s="88">
        <f>'по МК 56'!D91/1000</f>
        <v>0.17599999999999999</v>
      </c>
      <c r="H336" s="69">
        <f t="shared" si="18"/>
        <v>1388.9453688000001</v>
      </c>
      <c r="I336" s="61">
        <v>0</v>
      </c>
      <c r="J336" s="61">
        <v>0</v>
      </c>
      <c r="K336" s="61">
        <v>0</v>
      </c>
      <c r="L336" s="69">
        <f>'по МК 56'!E91/1000</f>
        <v>1388.9453688000001</v>
      </c>
      <c r="M336" s="94">
        <v>0</v>
      </c>
      <c r="N336" s="10"/>
      <c r="O336" s="9"/>
    </row>
    <row r="337" spans="2:15" ht="33" x14ac:dyDescent="0.25">
      <c r="B337" s="33" t="str">
        <f>'по МК 56'!C92</f>
        <v>Капитальный ремонт автомобильных дорог города Орла на улицах частной жилой застройки: ул. Медведева</v>
      </c>
      <c r="C337" s="125"/>
      <c r="D337" s="69"/>
      <c r="E337" s="176"/>
      <c r="F337" s="86">
        <f t="shared" si="19"/>
        <v>4412</v>
      </c>
      <c r="G337" s="88">
        <f>'по МК 56'!D92/1000</f>
        <v>1.103</v>
      </c>
      <c r="H337" s="69">
        <f t="shared" ref="H337:H342" si="20">SUM(I337:M337)</f>
        <v>8704.5837601499989</v>
      </c>
      <c r="I337" s="61">
        <v>0</v>
      </c>
      <c r="J337" s="61">
        <v>0</v>
      </c>
      <c r="K337" s="61">
        <v>0</v>
      </c>
      <c r="L337" s="69">
        <f>'по МК 56'!E92/1000</f>
        <v>8704.5837601499989</v>
      </c>
      <c r="M337" s="94">
        <v>0</v>
      </c>
      <c r="N337" s="10"/>
      <c r="O337" s="9"/>
    </row>
    <row r="338" spans="2:15" ht="33" x14ac:dyDescent="0.25">
      <c r="B338" s="33" t="str">
        <f>'по МК 56'!C94</f>
        <v>Капитальный ремонт автомобильных дорог города Орла на улицах частной жилой застройки: ул. Ново-Прядильная</v>
      </c>
      <c r="C338" s="125"/>
      <c r="D338" s="69"/>
      <c r="E338" s="176"/>
      <c r="F338" s="86">
        <f t="shared" si="19"/>
        <v>1896</v>
      </c>
      <c r="G338" s="88">
        <f>'по МК 56'!D94/1000</f>
        <v>0.47399999999999998</v>
      </c>
      <c r="H338" s="69">
        <f t="shared" si="20"/>
        <v>3740.6824136999999</v>
      </c>
      <c r="I338" s="61">
        <v>0</v>
      </c>
      <c r="J338" s="61">
        <v>0</v>
      </c>
      <c r="K338" s="61">
        <v>0</v>
      </c>
      <c r="L338" s="69">
        <f>'по МК 56'!E94/1000</f>
        <v>3740.6824136999999</v>
      </c>
      <c r="M338" s="94">
        <v>0</v>
      </c>
      <c r="N338" s="10"/>
      <c r="O338" s="9"/>
    </row>
    <row r="339" spans="2:15" ht="33" x14ac:dyDescent="0.25">
      <c r="B339" s="33" t="str">
        <f>'по МК 56'!C95</f>
        <v>Капитальный ремонт автомобильных дорог города Орла на улицах частной жилой застройки: пер. Пожарный</v>
      </c>
      <c r="C339" s="125"/>
      <c r="D339" s="69"/>
      <c r="E339" s="176"/>
      <c r="F339" s="86">
        <f t="shared" si="19"/>
        <v>872</v>
      </c>
      <c r="G339" s="88">
        <f>'по МК 56'!D95/1000</f>
        <v>0.218</v>
      </c>
      <c r="H339" s="69">
        <f t="shared" si="20"/>
        <v>1720.3982408999998</v>
      </c>
      <c r="I339" s="61">
        <v>0</v>
      </c>
      <c r="J339" s="61">
        <v>0</v>
      </c>
      <c r="K339" s="61">
        <v>0</v>
      </c>
      <c r="L339" s="69">
        <f>'по МК 56'!E95/1000</f>
        <v>1720.3982408999998</v>
      </c>
      <c r="M339" s="94">
        <v>0</v>
      </c>
      <c r="N339" s="10"/>
      <c r="O339" s="9"/>
    </row>
    <row r="340" spans="2:15" ht="33" x14ac:dyDescent="0.25">
      <c r="B340" s="33" t="str">
        <f>'по МК 56'!C96</f>
        <v>Капитальный ремонт автомобильных дорог города Орла на улицах частной жилой застройки: ул. Белинского</v>
      </c>
      <c r="C340" s="125"/>
      <c r="D340" s="69"/>
      <c r="E340" s="176"/>
      <c r="F340" s="86">
        <f t="shared" si="19"/>
        <v>2784</v>
      </c>
      <c r="G340" s="88">
        <f>'по МК 56'!D96/1000</f>
        <v>0.69599999999999995</v>
      </c>
      <c r="H340" s="69">
        <f t="shared" si="20"/>
        <v>5492.6476247999999</v>
      </c>
      <c r="I340" s="61">
        <v>0</v>
      </c>
      <c r="J340" s="61">
        <v>0</v>
      </c>
      <c r="K340" s="61">
        <v>0</v>
      </c>
      <c r="L340" s="69">
        <f>'по МК 56'!E96/1000+0.00001</f>
        <v>5492.6476247999999</v>
      </c>
      <c r="M340" s="94">
        <v>0</v>
      </c>
      <c r="N340" s="10"/>
      <c r="O340" s="9"/>
    </row>
    <row r="341" spans="2:15" ht="33" x14ac:dyDescent="0.25">
      <c r="B341" s="33" t="str">
        <f>'по МК 56'!C97</f>
        <v>Капитальный ремонт автомобильных дорог города Орла на улицах частной жилой застройки: пер. Культурный</v>
      </c>
      <c r="C341" s="125"/>
      <c r="D341" s="69"/>
      <c r="E341" s="176"/>
      <c r="F341" s="86">
        <f t="shared" si="19"/>
        <v>2924</v>
      </c>
      <c r="G341" s="88">
        <f>'по МК 56'!D97/1000</f>
        <v>0.73099999999999998</v>
      </c>
      <c r="H341" s="69">
        <f t="shared" si="20"/>
        <v>5768.8583215499993</v>
      </c>
      <c r="I341" s="61">
        <v>0</v>
      </c>
      <c r="J341" s="61">
        <v>0</v>
      </c>
      <c r="K341" s="61">
        <v>0</v>
      </c>
      <c r="L341" s="69">
        <f>'по МК 56'!E97/1000</f>
        <v>5768.8583215499993</v>
      </c>
      <c r="M341" s="94">
        <v>0</v>
      </c>
      <c r="N341" s="10"/>
      <c r="O341" s="9"/>
    </row>
    <row r="342" spans="2:15" ht="33" x14ac:dyDescent="0.25">
      <c r="B342" s="33" t="str">
        <f>'по МК 56'!C98</f>
        <v>Капитальный ремонт автомобильных дорог города Орла на улицах частной жилой застройки: ул.Заводская</v>
      </c>
      <c r="C342" s="125"/>
      <c r="D342" s="69"/>
      <c r="E342" s="176"/>
      <c r="F342" s="86">
        <f t="shared" si="19"/>
        <v>3036</v>
      </c>
      <c r="G342" s="88">
        <f>'по МК 56'!D98/1000</f>
        <v>0.75900000000000001</v>
      </c>
      <c r="H342" s="69">
        <f t="shared" si="20"/>
        <v>5989.8269029499997</v>
      </c>
      <c r="I342" s="61">
        <v>0</v>
      </c>
      <c r="J342" s="61">
        <v>0</v>
      </c>
      <c r="K342" s="61">
        <v>0</v>
      </c>
      <c r="L342" s="69">
        <f>'по МК 56'!E98/1000</f>
        <v>5989.8269029499997</v>
      </c>
      <c r="M342" s="94">
        <v>0</v>
      </c>
      <c r="N342" s="10"/>
      <c r="O342" s="9"/>
    </row>
    <row r="343" spans="2:15" ht="33" x14ac:dyDescent="0.25">
      <c r="B343" s="33" t="str">
        <f>'по МК 56'!C99</f>
        <v>Капитальный ремонт автомобильных дорог города Орла на улицах частной жилой застройки: ул. 1 Пушкарная</v>
      </c>
      <c r="C343" s="125"/>
      <c r="D343" s="69"/>
      <c r="E343" s="176"/>
      <c r="F343" s="86">
        <f t="shared" si="19"/>
        <v>6000</v>
      </c>
      <c r="G343" s="88">
        <f>'по МК 56'!D99/1000</f>
        <v>1.5</v>
      </c>
      <c r="H343" s="69">
        <f t="shared" ref="H343:H387" si="21">SUM(I343:M343)</f>
        <v>11837.602574999999</v>
      </c>
      <c r="I343" s="61">
        <v>0</v>
      </c>
      <c r="J343" s="61">
        <v>0</v>
      </c>
      <c r="K343" s="61">
        <v>0</v>
      </c>
      <c r="L343" s="69">
        <f>'по МК 56'!E99/1000</f>
        <v>11837.602574999999</v>
      </c>
      <c r="M343" s="94">
        <v>0</v>
      </c>
      <c r="N343" s="10"/>
      <c r="O343" s="9"/>
    </row>
    <row r="344" spans="2:15" ht="33" x14ac:dyDescent="0.25">
      <c r="B344" s="33" t="str">
        <f>'по МК 56'!C100</f>
        <v>Капитальный ремонт автомобильных дорог города Орла на улицах частной жилой застройки: ул. 2 Пушкарная</v>
      </c>
      <c r="C344" s="125"/>
      <c r="D344" s="69"/>
      <c r="E344" s="176"/>
      <c r="F344" s="86">
        <f t="shared" si="19"/>
        <v>4800</v>
      </c>
      <c r="G344" s="88">
        <f>'по МК 56'!D100/1000</f>
        <v>1.2</v>
      </c>
      <c r="H344" s="69">
        <f t="shared" si="21"/>
        <v>9470.0820600000006</v>
      </c>
      <c r="I344" s="61">
        <v>0</v>
      </c>
      <c r="J344" s="61">
        <v>0</v>
      </c>
      <c r="K344" s="61">
        <v>0</v>
      </c>
      <c r="L344" s="69">
        <f>'по МК 56'!E100/1000</f>
        <v>9470.0820600000006</v>
      </c>
      <c r="M344" s="94">
        <v>0</v>
      </c>
      <c r="N344" s="10"/>
      <c r="O344" s="9"/>
    </row>
    <row r="345" spans="2:15" ht="33" x14ac:dyDescent="0.25">
      <c r="B345" s="33" t="str">
        <f>'по МК 56'!C101</f>
        <v>Капитальный ремонт автомобильных дорог города Орла на улицах частной жилой застройки: ул. Зеленый Берег</v>
      </c>
      <c r="C345" s="125"/>
      <c r="D345" s="69"/>
      <c r="E345" s="176"/>
      <c r="F345" s="86">
        <f t="shared" si="19"/>
        <v>5600</v>
      </c>
      <c r="G345" s="88">
        <f>'по МК 56'!D101/1000</f>
        <v>1.4</v>
      </c>
      <c r="H345" s="69">
        <f t="shared" si="21"/>
        <v>11048.429069999998</v>
      </c>
      <c r="I345" s="61">
        <v>0</v>
      </c>
      <c r="J345" s="61">
        <v>0</v>
      </c>
      <c r="K345" s="61">
        <v>0</v>
      </c>
      <c r="L345" s="69">
        <f>'по МК 56'!E101/1000</f>
        <v>11048.429069999998</v>
      </c>
      <c r="M345" s="94">
        <v>0</v>
      </c>
      <c r="N345" s="10"/>
      <c r="O345" s="9"/>
    </row>
    <row r="346" spans="2:15" ht="33" x14ac:dyDescent="0.25">
      <c r="B346" s="33" t="str">
        <f>'по МК 56'!C102</f>
        <v>Капитальный ремонт автомобильных дорог города Орла на улицах частной жилой застройки: наб. Есенина</v>
      </c>
      <c r="C346" s="125"/>
      <c r="D346" s="69"/>
      <c r="E346" s="176"/>
      <c r="F346" s="86">
        <f t="shared" si="19"/>
        <v>3244</v>
      </c>
      <c r="G346" s="88">
        <f>'по МК 56'!D102/1000</f>
        <v>0.81100000000000005</v>
      </c>
      <c r="H346" s="69">
        <f t="shared" si="21"/>
        <v>6400.1971055500007</v>
      </c>
      <c r="I346" s="61">
        <v>0</v>
      </c>
      <c r="J346" s="61">
        <v>0</v>
      </c>
      <c r="K346" s="61">
        <v>0</v>
      </c>
      <c r="L346" s="69">
        <f>'по МК 56'!E102/1000</f>
        <v>6400.1971055500007</v>
      </c>
      <c r="M346" s="94">
        <v>0</v>
      </c>
      <c r="N346" s="10"/>
      <c r="O346" s="9"/>
    </row>
    <row r="347" spans="2:15" ht="33" x14ac:dyDescent="0.25">
      <c r="B347" s="33" t="str">
        <f>'по МК 56'!C103</f>
        <v>Капитальный ремонт автомобильных дорог города Орла на улицах частной жилой застройки: ул. Чапаева</v>
      </c>
      <c r="C347" s="125"/>
      <c r="D347" s="69"/>
      <c r="E347" s="176"/>
      <c r="F347" s="86">
        <f t="shared" si="19"/>
        <v>4400</v>
      </c>
      <c r="G347" s="88">
        <f>'по МК 56'!D103/1000</f>
        <v>1.1000000000000001</v>
      </c>
      <c r="H347" s="69">
        <f t="shared" si="21"/>
        <v>8680.908555</v>
      </c>
      <c r="I347" s="61">
        <v>0</v>
      </c>
      <c r="J347" s="61">
        <v>0</v>
      </c>
      <c r="K347" s="61">
        <v>0</v>
      </c>
      <c r="L347" s="69">
        <f>'по МК 56'!E103/1000</f>
        <v>8680.908555</v>
      </c>
      <c r="M347" s="94">
        <v>0</v>
      </c>
      <c r="N347" s="10"/>
      <c r="O347" s="9"/>
    </row>
    <row r="348" spans="2:15" ht="33" x14ac:dyDescent="0.25">
      <c r="B348" s="33" t="str">
        <f>'по МК 56'!C104</f>
        <v>Капитальный ремонт автомобильных дорог города Орла на улицах частной жилой застройки:ул. Садово-Пушкарная</v>
      </c>
      <c r="C348" s="125"/>
      <c r="D348" s="69"/>
      <c r="E348" s="176"/>
      <c r="F348" s="86">
        <f t="shared" si="19"/>
        <v>6000</v>
      </c>
      <c r="G348" s="88">
        <f>'по МК 56'!D104/1000</f>
        <v>1.5</v>
      </c>
      <c r="H348" s="69">
        <f t="shared" si="21"/>
        <v>17756.403862499996</v>
      </c>
      <c r="I348" s="61">
        <v>0</v>
      </c>
      <c r="J348" s="61">
        <v>0</v>
      </c>
      <c r="K348" s="61">
        <v>0</v>
      </c>
      <c r="L348" s="69">
        <f>'по МК 56'!E104/1000</f>
        <v>17756.403862499996</v>
      </c>
      <c r="M348" s="94">
        <v>0</v>
      </c>
      <c r="N348" s="10"/>
      <c r="O348" s="9"/>
    </row>
    <row r="349" spans="2:15" ht="33" x14ac:dyDescent="0.25">
      <c r="B349" s="33" t="str">
        <f>'по МК 56'!C105</f>
        <v>Капитальный ремонт автомобильных дорог города Орла на улицах частной жилой застройки: ул. Панчука</v>
      </c>
      <c r="C349" s="125"/>
      <c r="D349" s="69"/>
      <c r="E349" s="176"/>
      <c r="F349" s="86">
        <f t="shared" si="19"/>
        <v>5600</v>
      </c>
      <c r="G349" s="88">
        <f>'по МК 56'!D105/1000</f>
        <v>1.4</v>
      </c>
      <c r="H349" s="69">
        <f t="shared" si="21"/>
        <v>16572.643604999997</v>
      </c>
      <c r="I349" s="61">
        <v>0</v>
      </c>
      <c r="J349" s="61">
        <v>0</v>
      </c>
      <c r="K349" s="61">
        <v>0</v>
      </c>
      <c r="L349" s="69">
        <f>'по МК 56'!E105/1000</f>
        <v>16572.643604999997</v>
      </c>
      <c r="M349" s="94">
        <v>0</v>
      </c>
      <c r="N349" s="10"/>
      <c r="O349" s="9"/>
    </row>
    <row r="350" spans="2:15" ht="33" x14ac:dyDescent="0.25">
      <c r="B350" s="33" t="str">
        <f>'по МК 56'!C106</f>
        <v>Капитальный ремонт автомобильных дорог города Орла на улицах частной жилой застройки: ул. Достоевского</v>
      </c>
      <c r="C350" s="125"/>
      <c r="D350" s="69"/>
      <c r="E350" s="176"/>
      <c r="F350" s="86">
        <f t="shared" si="19"/>
        <v>6000</v>
      </c>
      <c r="G350" s="88">
        <f>'по МК 56'!D106/1000</f>
        <v>1.5</v>
      </c>
      <c r="H350" s="69">
        <f t="shared" si="21"/>
        <v>11837.602574999999</v>
      </c>
      <c r="I350" s="61">
        <v>0</v>
      </c>
      <c r="J350" s="61">
        <v>0</v>
      </c>
      <c r="K350" s="61">
        <v>0</v>
      </c>
      <c r="L350" s="69">
        <f>'по МК 56'!E106/1000</f>
        <v>11837.602574999999</v>
      </c>
      <c r="M350" s="94">
        <v>0</v>
      </c>
      <c r="N350" s="10"/>
      <c r="O350" s="9"/>
    </row>
    <row r="351" spans="2:15" ht="33" x14ac:dyDescent="0.25">
      <c r="B351" s="33" t="str">
        <f>'по МК 56'!C107</f>
        <v>Капитальный ремонт автомобильных дорог города Орла на улицах частной жилой застройки: ул. Циолковского</v>
      </c>
      <c r="C351" s="125"/>
      <c r="D351" s="69"/>
      <c r="E351" s="176"/>
      <c r="F351" s="86">
        <f t="shared" si="19"/>
        <v>4400</v>
      </c>
      <c r="G351" s="88">
        <f>'по МК 56'!D107/1000</f>
        <v>1.1000000000000001</v>
      </c>
      <c r="H351" s="69">
        <f t="shared" si="21"/>
        <v>8680.908555</v>
      </c>
      <c r="I351" s="61">
        <v>0</v>
      </c>
      <c r="J351" s="61">
        <v>0</v>
      </c>
      <c r="K351" s="61">
        <v>0</v>
      </c>
      <c r="L351" s="69">
        <f>'по МК 56'!E107/1000</f>
        <v>8680.908555</v>
      </c>
      <c r="M351" s="94">
        <v>0</v>
      </c>
      <c r="N351" s="10"/>
      <c r="O351" s="9"/>
    </row>
    <row r="352" spans="2:15" ht="33" x14ac:dyDescent="0.25">
      <c r="B352" s="33" t="str">
        <f>'по МК 56'!C108</f>
        <v>Капитальный ремонт автомобильных дорог города Орла на улицах частной жилой застройки: ул. Андреева</v>
      </c>
      <c r="C352" s="125"/>
      <c r="D352" s="69"/>
      <c r="E352" s="176"/>
      <c r="F352" s="86">
        <f t="shared" si="19"/>
        <v>2124</v>
      </c>
      <c r="G352" s="88">
        <f>'по МК 56'!D108/1000</f>
        <v>0.53100000000000003</v>
      </c>
      <c r="H352" s="69">
        <f t="shared" si="21"/>
        <v>6285.7669673250002</v>
      </c>
      <c r="I352" s="61">
        <v>0</v>
      </c>
      <c r="J352" s="61">
        <v>0</v>
      </c>
      <c r="K352" s="61">
        <v>0</v>
      </c>
      <c r="L352" s="69">
        <f>'по МК 56'!E108/1000</f>
        <v>6285.7669673250002</v>
      </c>
      <c r="M352" s="94">
        <v>0</v>
      </c>
      <c r="N352" s="10"/>
      <c r="O352" s="9"/>
    </row>
    <row r="353" spans="2:15" ht="33" x14ac:dyDescent="0.25">
      <c r="B353" s="33" t="str">
        <f>'по МК 56'!C109</f>
        <v>Капитальный ремонт автомобильных дорог города Орла на улицах частной жилой застройки: ул. Спивака</v>
      </c>
      <c r="C353" s="125"/>
      <c r="D353" s="69"/>
      <c r="E353" s="176"/>
      <c r="F353" s="86">
        <f t="shared" si="19"/>
        <v>5600</v>
      </c>
      <c r="G353" s="88">
        <f>'по МК 56'!D109/1000</f>
        <v>1.4</v>
      </c>
      <c r="H353" s="69">
        <f t="shared" si="21"/>
        <v>16572.643604999997</v>
      </c>
      <c r="I353" s="61">
        <v>0</v>
      </c>
      <c r="J353" s="61">
        <v>0</v>
      </c>
      <c r="K353" s="61">
        <v>0</v>
      </c>
      <c r="L353" s="69">
        <f>'по МК 56'!E109/1000</f>
        <v>16572.643604999997</v>
      </c>
      <c r="M353" s="94">
        <v>0</v>
      </c>
      <c r="N353" s="10"/>
      <c r="O353" s="9"/>
    </row>
    <row r="354" spans="2:15" ht="33" x14ac:dyDescent="0.25">
      <c r="B354" s="33" t="str">
        <f>'по МК 56'!C110</f>
        <v>Капитальный ремонт автомобильных дорог города Орла на улицах частной жилой застройки: ул. Чайкиной</v>
      </c>
      <c r="C354" s="125"/>
      <c r="D354" s="69"/>
      <c r="E354" s="176"/>
      <c r="F354" s="86">
        <f t="shared" si="19"/>
        <v>1432</v>
      </c>
      <c r="G354" s="88">
        <f>'по МК 56'!D110/1000</f>
        <v>0.35799999999999998</v>
      </c>
      <c r="H354" s="69">
        <f t="shared" si="21"/>
        <v>2825.2411478999998</v>
      </c>
      <c r="I354" s="61">
        <v>0</v>
      </c>
      <c r="J354" s="61">
        <v>0</v>
      </c>
      <c r="K354" s="61">
        <v>0</v>
      </c>
      <c r="L354" s="69">
        <f>'по МК 56'!E110/1000</f>
        <v>2825.2411478999998</v>
      </c>
      <c r="M354" s="94">
        <v>0</v>
      </c>
      <c r="N354" s="10"/>
      <c r="O354" s="9"/>
    </row>
    <row r="355" spans="2:15" ht="33" x14ac:dyDescent="0.25">
      <c r="B355" s="33" t="str">
        <f>'по МК 56'!C111</f>
        <v>Капитальный ремонт автомобильных дорог города Орла на улицах частной жилой застройки: ул. Земнухова</v>
      </c>
      <c r="C355" s="125"/>
      <c r="D355" s="69"/>
      <c r="E355" s="176"/>
      <c r="F355" s="86">
        <f t="shared" si="19"/>
        <v>1464</v>
      </c>
      <c r="G355" s="88">
        <f>'по МК 56'!D111/1000</f>
        <v>0.36599999999999999</v>
      </c>
      <c r="H355" s="69">
        <f t="shared" si="21"/>
        <v>2888.3750282999999</v>
      </c>
      <c r="I355" s="61">
        <v>0</v>
      </c>
      <c r="J355" s="61">
        <v>0</v>
      </c>
      <c r="K355" s="61">
        <v>0</v>
      </c>
      <c r="L355" s="69">
        <f>'по МК 56'!E111/1000</f>
        <v>2888.3750282999999</v>
      </c>
      <c r="M355" s="94">
        <v>0</v>
      </c>
      <c r="N355" s="10"/>
      <c r="O355" s="9"/>
    </row>
    <row r="356" spans="2:15" ht="33" x14ac:dyDescent="0.25">
      <c r="B356" s="33" t="str">
        <f>'по МК 56'!C112</f>
        <v>Капитальный ремонт автомобильных дорог города Орла на улицах частной жилой застройки: ул. Кошевого</v>
      </c>
      <c r="C356" s="125"/>
      <c r="D356" s="69"/>
      <c r="E356" s="176"/>
      <c r="F356" s="86">
        <f t="shared" si="19"/>
        <v>1480</v>
      </c>
      <c r="G356" s="88">
        <f>'по МК 56'!D112/1000</f>
        <v>0.37</v>
      </c>
      <c r="H356" s="69">
        <f t="shared" si="21"/>
        <v>2919.9419684999998</v>
      </c>
      <c r="I356" s="61">
        <v>0</v>
      </c>
      <c r="J356" s="61">
        <v>0</v>
      </c>
      <c r="K356" s="61">
        <v>0</v>
      </c>
      <c r="L356" s="69">
        <f>'по МК 56'!E112/1000</f>
        <v>2919.9419684999998</v>
      </c>
      <c r="M356" s="94">
        <v>0</v>
      </c>
      <c r="N356" s="10"/>
      <c r="O356" s="9"/>
    </row>
    <row r="357" spans="2:15" ht="33" x14ac:dyDescent="0.25">
      <c r="B357" s="33" t="str">
        <f>'по МК 56'!C113</f>
        <v>Капитальный ремонт автомобильных дорог города Орла на улицах частной жилой застройки: ул. Тюленина</v>
      </c>
      <c r="C357" s="125"/>
      <c r="D357" s="69"/>
      <c r="E357" s="176"/>
      <c r="F357" s="86">
        <f t="shared" si="19"/>
        <v>1844</v>
      </c>
      <c r="G357" s="88">
        <f>'по МК 56'!D113/1000</f>
        <v>0.46100000000000002</v>
      </c>
      <c r="H357" s="69">
        <f t="shared" si="21"/>
        <v>3638.0898580499997</v>
      </c>
      <c r="I357" s="61">
        <v>0</v>
      </c>
      <c r="J357" s="61">
        <v>0</v>
      </c>
      <c r="K357" s="61">
        <v>0</v>
      </c>
      <c r="L357" s="69">
        <f>'по МК 56'!E113/1000</f>
        <v>3638.0898580499997</v>
      </c>
      <c r="M357" s="94">
        <v>0</v>
      </c>
      <c r="N357" s="10"/>
      <c r="O357" s="9"/>
    </row>
    <row r="358" spans="2:15" ht="33" x14ac:dyDescent="0.25">
      <c r="B358" s="33" t="str">
        <f>'по МК 56'!C114</f>
        <v>Капитальный ремонт автомобильных дорог города Орла на улицах частной жилой застройки: ул. Громовой</v>
      </c>
      <c r="C358" s="125"/>
      <c r="D358" s="69"/>
      <c r="E358" s="176"/>
      <c r="F358" s="86">
        <f t="shared" si="19"/>
        <v>1152</v>
      </c>
      <c r="G358" s="88">
        <f>'по МК 56'!D114/1000</f>
        <v>0.28799999999999998</v>
      </c>
      <c r="H358" s="69">
        <f t="shared" si="21"/>
        <v>2272.8197144000001</v>
      </c>
      <c r="I358" s="61">
        <v>0</v>
      </c>
      <c r="J358" s="61">
        <v>0</v>
      </c>
      <c r="K358" s="61">
        <v>0</v>
      </c>
      <c r="L358" s="69">
        <f>'по МК 56'!E114/1000</f>
        <v>2272.8197144000001</v>
      </c>
      <c r="M358" s="94">
        <v>0</v>
      </c>
      <c r="N358" s="10"/>
      <c r="O358" s="9"/>
    </row>
    <row r="359" spans="2:15" ht="33" x14ac:dyDescent="0.25">
      <c r="B359" s="33" t="str">
        <f>'по МК 56'!C115</f>
        <v>Капитальный ремонт автомобильных дорог города Орла на улицах частной жилой застройки: пер. Шевцовой</v>
      </c>
      <c r="C359" s="125"/>
      <c r="D359" s="69"/>
      <c r="E359" s="176"/>
      <c r="F359" s="86">
        <f t="shared" si="19"/>
        <v>1372</v>
      </c>
      <c r="G359" s="88">
        <f>'по МК 56'!D115/1000</f>
        <v>0.34300000000000003</v>
      </c>
      <c r="H359" s="69">
        <f t="shared" si="21"/>
        <v>2706.8651221500004</v>
      </c>
      <c r="I359" s="61">
        <v>0</v>
      </c>
      <c r="J359" s="61">
        <v>0</v>
      </c>
      <c r="K359" s="61">
        <v>0</v>
      </c>
      <c r="L359" s="69">
        <f>'по МК 56'!E115/1000</f>
        <v>2706.8651221500004</v>
      </c>
      <c r="M359" s="94">
        <v>0</v>
      </c>
      <c r="N359" s="10"/>
      <c r="O359" s="9"/>
    </row>
    <row r="360" spans="2:15" ht="33" x14ac:dyDescent="0.25">
      <c r="B360" s="33" t="str">
        <f>'по МК 56'!C116</f>
        <v>Капитальный ремонт автомобильных дорог города Орла на улицах частной жилой застройки: ул. Островского</v>
      </c>
      <c r="C360" s="125"/>
      <c r="D360" s="69"/>
      <c r="E360" s="176"/>
      <c r="F360" s="86">
        <f t="shared" si="19"/>
        <v>3320</v>
      </c>
      <c r="G360" s="88">
        <f>'по МК 56'!D116/1000</f>
        <v>0.83</v>
      </c>
      <c r="H360" s="69">
        <f t="shared" si="21"/>
        <v>6550.1400914999995</v>
      </c>
      <c r="I360" s="61">
        <v>0</v>
      </c>
      <c r="J360" s="61">
        <v>0</v>
      </c>
      <c r="K360" s="61">
        <v>0</v>
      </c>
      <c r="L360" s="69">
        <f>'по МК 56'!E116/1000</f>
        <v>6550.1400914999995</v>
      </c>
      <c r="M360" s="94">
        <v>0</v>
      </c>
      <c r="N360" s="10"/>
      <c r="O360" s="9"/>
    </row>
    <row r="361" spans="2:15" ht="33" x14ac:dyDescent="0.25">
      <c r="B361" s="33" t="str">
        <f>'по МК 56'!C117</f>
        <v>Капитальный ремонт автомобильных дорог города Орла на улицах частной жилой застройки: ул. Моховая</v>
      </c>
      <c r="C361" s="125"/>
      <c r="D361" s="69"/>
      <c r="E361" s="176"/>
      <c r="F361" s="86">
        <f t="shared" si="19"/>
        <v>3312</v>
      </c>
      <c r="G361" s="88">
        <f>'по МК 56'!D117/1000</f>
        <v>0.82799999999999996</v>
      </c>
      <c r="H361" s="69">
        <f t="shared" si="21"/>
        <v>6534.3566413999988</v>
      </c>
      <c r="I361" s="61">
        <v>0</v>
      </c>
      <c r="J361" s="61">
        <v>0</v>
      </c>
      <c r="K361" s="61">
        <v>0</v>
      </c>
      <c r="L361" s="69">
        <f>'по МК 56'!E117/1000</f>
        <v>6534.3566413999988</v>
      </c>
      <c r="M361" s="94">
        <v>0</v>
      </c>
      <c r="N361" s="10"/>
      <c r="O361" s="9"/>
    </row>
    <row r="362" spans="2:15" ht="33" x14ac:dyDescent="0.25">
      <c r="B362" s="33" t="str">
        <f>'по МК 56'!C118</f>
        <v>Капитальный ремонт автомобильных дорог города Орла на улицах частной жилой застройки: ул. Калужская</v>
      </c>
      <c r="C362" s="125"/>
      <c r="D362" s="69"/>
      <c r="E362" s="176"/>
      <c r="F362" s="86">
        <f t="shared" si="19"/>
        <v>4400</v>
      </c>
      <c r="G362" s="88">
        <f>'по МК 56'!D118/1000</f>
        <v>1.1000000000000001</v>
      </c>
      <c r="H362" s="69">
        <f t="shared" si="21"/>
        <v>8680.908555</v>
      </c>
      <c r="I362" s="61">
        <v>0</v>
      </c>
      <c r="J362" s="61">
        <v>0</v>
      </c>
      <c r="K362" s="61">
        <v>0</v>
      </c>
      <c r="L362" s="69">
        <f>'по МК 56'!E118/1000</f>
        <v>8680.908555</v>
      </c>
      <c r="M362" s="94">
        <v>0</v>
      </c>
      <c r="N362" s="10"/>
      <c r="O362" s="9"/>
    </row>
    <row r="363" spans="2:15" ht="33" x14ac:dyDescent="0.25">
      <c r="B363" s="33" t="str">
        <f>'по МК 56'!C119</f>
        <v>Капитальный ремонт автомобильных дорог города Орла на улицах частной жилой застройки: ул. Восточная</v>
      </c>
      <c r="C363" s="125"/>
      <c r="D363" s="69"/>
      <c r="E363" s="176"/>
      <c r="F363" s="86">
        <f t="shared" si="19"/>
        <v>3304</v>
      </c>
      <c r="G363" s="88">
        <f>'по МК 56'!D119/1000</f>
        <v>0.82599999999999996</v>
      </c>
      <c r="H363" s="69">
        <f t="shared" si="21"/>
        <v>6518.5731513000001</v>
      </c>
      <c r="I363" s="61">
        <v>0</v>
      </c>
      <c r="J363" s="61">
        <v>0</v>
      </c>
      <c r="K363" s="61">
        <v>0</v>
      </c>
      <c r="L363" s="69">
        <f>'по МК 56'!E119/1000</f>
        <v>6518.5731513000001</v>
      </c>
      <c r="M363" s="94">
        <v>0</v>
      </c>
      <c r="N363" s="10"/>
      <c r="O363" s="9"/>
    </row>
    <row r="364" spans="2:15" ht="33" x14ac:dyDescent="0.25">
      <c r="B364" s="33" t="str">
        <f>'по МК 56'!C120</f>
        <v>Капитальный ремонт автомобильных дорог города Орла на улицах частной жилой застройки: ул. Ольховецкая</v>
      </c>
      <c r="C364" s="125"/>
      <c r="D364" s="69"/>
      <c r="E364" s="176"/>
      <c r="F364" s="86">
        <f t="shared" si="19"/>
        <v>2620</v>
      </c>
      <c r="G364" s="88">
        <f>'по МК 56'!D120/1000</f>
        <v>0.65500000000000003</v>
      </c>
      <c r="H364" s="69">
        <f t="shared" si="21"/>
        <v>5169.0864177499998</v>
      </c>
      <c r="I364" s="61">
        <v>0</v>
      </c>
      <c r="J364" s="61">
        <v>0</v>
      </c>
      <c r="K364" s="61">
        <v>0</v>
      </c>
      <c r="L364" s="69">
        <f>'по МК 56'!E120/1000-0.00002</f>
        <v>5169.0864177499998</v>
      </c>
      <c r="M364" s="94">
        <v>0</v>
      </c>
      <c r="N364" s="10"/>
      <c r="O364" s="9"/>
    </row>
    <row r="365" spans="2:15" ht="33" x14ac:dyDescent="0.25">
      <c r="B365" s="33" t="str">
        <f>'по МК 56'!C121</f>
        <v>Капитальный ремонт автомобильных дорог города Орла на улицах частной жилой застройки: ул. Краснозоренская</v>
      </c>
      <c r="C365" s="125"/>
      <c r="D365" s="69"/>
      <c r="E365" s="176"/>
      <c r="F365" s="86">
        <f t="shared" si="19"/>
        <v>3412</v>
      </c>
      <c r="G365" s="88">
        <f>'по МК 56'!D121/1000</f>
        <v>0.85299999999999998</v>
      </c>
      <c r="H365" s="69">
        <f t="shared" si="21"/>
        <v>6731.649997649999</v>
      </c>
      <c r="I365" s="61">
        <v>0</v>
      </c>
      <c r="J365" s="61">
        <v>0</v>
      </c>
      <c r="K365" s="61">
        <v>0</v>
      </c>
      <c r="L365" s="69">
        <f>'по МК 56'!E121/1000</f>
        <v>6731.649997649999</v>
      </c>
      <c r="M365" s="94">
        <v>0</v>
      </c>
      <c r="N365" s="10"/>
      <c r="O365" s="9"/>
    </row>
    <row r="366" spans="2:15" ht="33" x14ac:dyDescent="0.25">
      <c r="B366" s="33" t="str">
        <f>'по МК 56'!C122</f>
        <v>Капитальный ремонт автомобильных дорог города Орла на улицах частной жилой застройки: ул. Придорожная</v>
      </c>
      <c r="C366" s="125"/>
      <c r="D366" s="69"/>
      <c r="E366" s="176"/>
      <c r="F366" s="86">
        <f t="shared" si="19"/>
        <v>1300</v>
      </c>
      <c r="G366" s="88">
        <f>'по МК 56'!D122/1000</f>
        <v>0.32500000000000001</v>
      </c>
      <c r="H366" s="69">
        <f t="shared" si="21"/>
        <v>2564.8138912499999</v>
      </c>
      <c r="I366" s="61">
        <v>0</v>
      </c>
      <c r="J366" s="61">
        <v>0</v>
      </c>
      <c r="K366" s="61">
        <v>0</v>
      </c>
      <c r="L366" s="69">
        <f>'по МК 56'!E122/1000</f>
        <v>2564.8138912499999</v>
      </c>
      <c r="M366" s="94">
        <v>0</v>
      </c>
      <c r="N366" s="10"/>
      <c r="O366" s="9"/>
    </row>
    <row r="367" spans="2:15" ht="33" x14ac:dyDescent="0.25">
      <c r="B367" s="33" t="str">
        <f>'по МК 56'!C123</f>
        <v>Капитальный ремонт автомобильных дорог города Орла на улицах частной жилой застройки: пер. Лебединый</v>
      </c>
      <c r="C367" s="125"/>
      <c r="D367" s="69"/>
      <c r="E367" s="176"/>
      <c r="F367" s="86">
        <f t="shared" si="19"/>
        <v>428</v>
      </c>
      <c r="G367" s="88">
        <f>'по МК 56'!D123/1000</f>
        <v>0.107</v>
      </c>
      <c r="H367" s="69">
        <f t="shared" si="21"/>
        <v>844.41565034999985</v>
      </c>
      <c r="I367" s="61">
        <v>0</v>
      </c>
      <c r="J367" s="61">
        <v>0</v>
      </c>
      <c r="K367" s="61">
        <v>0</v>
      </c>
      <c r="L367" s="69">
        <f>'по МК 56'!E123/1000</f>
        <v>844.41565034999985</v>
      </c>
      <c r="M367" s="94">
        <v>0</v>
      </c>
      <c r="N367" s="10"/>
      <c r="O367" s="9"/>
    </row>
    <row r="368" spans="2:15" ht="33" x14ac:dyDescent="0.25">
      <c r="B368" s="33" t="str">
        <f>'по МК 56'!C124</f>
        <v>Капитальный ремонт автомобильных дорог города Орла на улицах частной жилой застройки: ул. Мебельная</v>
      </c>
      <c r="C368" s="125"/>
      <c r="D368" s="69"/>
      <c r="E368" s="176"/>
      <c r="F368" s="86">
        <f t="shared" si="19"/>
        <v>884</v>
      </c>
      <c r="G368" s="88">
        <f>'по МК 56'!D124/1000</f>
        <v>0.221</v>
      </c>
      <c r="H368" s="69">
        <f t="shared" si="21"/>
        <v>1744.0734360500001</v>
      </c>
      <c r="I368" s="61">
        <v>0</v>
      </c>
      <c r="J368" s="61">
        <v>0</v>
      </c>
      <c r="K368" s="61">
        <v>0</v>
      </c>
      <c r="L368" s="69">
        <f>'по МК 56'!E124/1000-0.00001</f>
        <v>1744.0734360500001</v>
      </c>
      <c r="M368" s="94">
        <v>0</v>
      </c>
      <c r="N368" s="10"/>
      <c r="O368" s="9"/>
    </row>
    <row r="369" spans="2:16" ht="33" x14ac:dyDescent="0.25">
      <c r="B369" s="33" t="str">
        <f>'по МК 56'!C125</f>
        <v>Капитальный ремонт автомобильных дорог города Орла на улицах частной жилой застройки: пер. Краснозоренский</v>
      </c>
      <c r="C369" s="125"/>
      <c r="D369" s="69"/>
      <c r="E369" s="176"/>
      <c r="F369" s="86">
        <f t="shared" si="19"/>
        <v>880</v>
      </c>
      <c r="G369" s="88">
        <f>'по МК 56'!D125/1000</f>
        <v>0.22</v>
      </c>
      <c r="H369" s="69">
        <f t="shared" si="21"/>
        <v>1736.181711</v>
      </c>
      <c r="I369" s="61">
        <v>0</v>
      </c>
      <c r="J369" s="61">
        <v>0</v>
      </c>
      <c r="K369" s="61">
        <v>0</v>
      </c>
      <c r="L369" s="69">
        <f>'по МК 56'!E125/1000</f>
        <v>1736.181711</v>
      </c>
      <c r="M369" s="94">
        <v>0</v>
      </c>
      <c r="N369" s="10"/>
      <c r="O369" s="9"/>
    </row>
    <row r="370" spans="2:16" ht="33" x14ac:dyDescent="0.25">
      <c r="B370" s="33" t="str">
        <f>'по МК 56'!C126</f>
        <v>Капитальный ремонт автомобильных дорог города Орла на улицах частной жилой застройки: пер. Столярный</v>
      </c>
      <c r="C370" s="125"/>
      <c r="D370" s="69"/>
      <c r="E370" s="176"/>
      <c r="F370" s="86">
        <f t="shared" si="19"/>
        <v>480</v>
      </c>
      <c r="G370" s="88">
        <f>'по МК 56'!D126/1000</f>
        <v>0.12</v>
      </c>
      <c r="H370" s="69">
        <f t="shared" si="21"/>
        <v>947.00818100000004</v>
      </c>
      <c r="I370" s="61">
        <v>0</v>
      </c>
      <c r="J370" s="61">
        <v>0</v>
      </c>
      <c r="K370" s="61">
        <v>0</v>
      </c>
      <c r="L370" s="69">
        <f>'по МК 56'!E126/1000-0.000015</f>
        <v>947.00818100000004</v>
      </c>
      <c r="M370" s="94">
        <v>0</v>
      </c>
      <c r="N370" s="10"/>
      <c r="O370" s="9"/>
    </row>
    <row r="371" spans="2:16" ht="33" x14ac:dyDescent="0.25">
      <c r="B371" s="33" t="str">
        <f>'по МК 56'!C127</f>
        <v>Капитальный ремонт автомобильных дорог города Орла на улицах частной жилой застройки: ул. Надежды</v>
      </c>
      <c r="C371" s="125"/>
      <c r="D371" s="69"/>
      <c r="E371" s="176"/>
      <c r="F371" s="86">
        <f t="shared" si="19"/>
        <v>1900</v>
      </c>
      <c r="G371" s="88">
        <f>'по МК 56'!D127/1000</f>
        <v>0.47499999999999998</v>
      </c>
      <c r="H371" s="69">
        <f t="shared" si="21"/>
        <v>3748.5741487499999</v>
      </c>
      <c r="I371" s="61">
        <v>0</v>
      </c>
      <c r="J371" s="61">
        <v>0</v>
      </c>
      <c r="K371" s="61">
        <v>0</v>
      </c>
      <c r="L371" s="69">
        <f>'по МК 56'!E127/1000</f>
        <v>3748.5741487499999</v>
      </c>
      <c r="M371" s="94">
        <v>0</v>
      </c>
      <c r="N371" s="10"/>
      <c r="O371" s="9"/>
    </row>
    <row r="372" spans="2:16" ht="33" x14ac:dyDescent="0.25">
      <c r="B372" s="33" t="str">
        <f>'по МК 56'!C128</f>
        <v>Капитальный ремонт автомобильных дорог города Орла на улицах частной жилой застройки: ул. Сечкина</v>
      </c>
      <c r="C372" s="125"/>
      <c r="D372" s="69"/>
      <c r="E372" s="176"/>
      <c r="F372" s="86">
        <f t="shared" si="19"/>
        <v>1156</v>
      </c>
      <c r="G372" s="88">
        <f>'по МК 56'!D128/1000</f>
        <v>0.28899999999999998</v>
      </c>
      <c r="H372" s="69">
        <f t="shared" si="21"/>
        <v>2280.7114294499997</v>
      </c>
      <c r="I372" s="61">
        <v>0</v>
      </c>
      <c r="J372" s="61">
        <v>0</v>
      </c>
      <c r="K372" s="61">
        <v>0</v>
      </c>
      <c r="L372" s="69">
        <f>'по МК 56'!E128/1000</f>
        <v>2280.7114294499997</v>
      </c>
      <c r="M372" s="94">
        <v>0</v>
      </c>
      <c r="N372" s="10"/>
      <c r="O372" s="9"/>
    </row>
    <row r="373" spans="2:16" ht="33" x14ac:dyDescent="0.25">
      <c r="B373" s="33" t="str">
        <f>'по МК 56'!C129</f>
        <v>Капитальный ремонт автомобильных дорог города Орла на улицах частной жилой застройки: пер. Сечкина</v>
      </c>
      <c r="C373" s="125"/>
      <c r="D373" s="69"/>
      <c r="E373" s="176"/>
      <c r="F373" s="86">
        <f t="shared" si="19"/>
        <v>1012</v>
      </c>
      <c r="G373" s="88">
        <f>'по МК 56'!D129/1000</f>
        <v>0.253</v>
      </c>
      <c r="H373" s="69">
        <f t="shared" si="21"/>
        <v>1996.6089676500001</v>
      </c>
      <c r="I373" s="61">
        <v>0</v>
      </c>
      <c r="J373" s="61">
        <v>0</v>
      </c>
      <c r="K373" s="61">
        <v>0</v>
      </c>
      <c r="L373" s="69">
        <f>'по МК 56'!E129/1000</f>
        <v>1996.6089676500001</v>
      </c>
      <c r="M373" s="94">
        <v>0</v>
      </c>
      <c r="N373" s="10"/>
      <c r="O373" s="9"/>
    </row>
    <row r="374" spans="2:16" ht="33" x14ac:dyDescent="0.25">
      <c r="B374" s="33" t="str">
        <f>'по МК 56'!C130</f>
        <v>Капитальный ремонт автомобильных дорог города Орла на улицах частной жилой застройки: ул. Героев Чекистов</v>
      </c>
      <c r="C374" s="125"/>
      <c r="D374" s="69"/>
      <c r="E374" s="176"/>
      <c r="F374" s="86">
        <f t="shared" si="19"/>
        <v>824</v>
      </c>
      <c r="G374" s="88">
        <f>'по МК 56'!D130/1000</f>
        <v>0.20599999999999999</v>
      </c>
      <c r="H374" s="69">
        <f t="shared" si="21"/>
        <v>1625.6974203</v>
      </c>
      <c r="I374" s="61">
        <v>0</v>
      </c>
      <c r="J374" s="61">
        <v>0</v>
      </c>
      <c r="K374" s="61">
        <v>0</v>
      </c>
      <c r="L374" s="69">
        <f>'по МК 56'!E130/1000</f>
        <v>1625.6974203</v>
      </c>
      <c r="M374" s="94">
        <v>0</v>
      </c>
      <c r="N374" s="10"/>
      <c r="O374" s="9"/>
    </row>
    <row r="375" spans="2:16" ht="33" x14ac:dyDescent="0.25">
      <c r="B375" s="33" t="str">
        <f>'по МК 56'!C131</f>
        <v>Капитальный ремонт автомобильных дорог города Орла на улицах частной жилой застройки: ул. Героев Милиционеров</v>
      </c>
      <c r="C375" s="125"/>
      <c r="D375" s="69"/>
      <c r="E375" s="176"/>
      <c r="F375" s="86">
        <f t="shared" si="19"/>
        <v>384</v>
      </c>
      <c r="G375" s="88">
        <f>'по МК 56'!D131/1000</f>
        <v>9.6000000000000002E-2</v>
      </c>
      <c r="H375" s="69">
        <f t="shared" si="21"/>
        <v>757.60613600000011</v>
      </c>
      <c r="I375" s="61">
        <v>0</v>
      </c>
      <c r="J375" s="61">
        <v>0</v>
      </c>
      <c r="K375" s="61">
        <v>0</v>
      </c>
      <c r="L375" s="69">
        <f>'по МК 56'!E131/1000-0.00002</f>
        <v>757.60613600000011</v>
      </c>
      <c r="M375" s="94">
        <v>0</v>
      </c>
      <c r="N375" s="10"/>
      <c r="O375" s="9"/>
    </row>
    <row r="376" spans="2:16" ht="33" x14ac:dyDescent="0.25">
      <c r="B376" s="33" t="str">
        <f>'по МК 56'!C132</f>
        <v>Капитальный ремонт автомобильных дорог города Орла на улицах частной жилой застройки: ул. Благининой</v>
      </c>
      <c r="C376" s="125"/>
      <c r="D376" s="69"/>
      <c r="E376" s="176"/>
      <c r="F376" s="86">
        <f t="shared" si="19"/>
        <v>5600</v>
      </c>
      <c r="G376" s="88">
        <f>'по МК 56'!D132/1000</f>
        <v>1.4</v>
      </c>
      <c r="H376" s="69">
        <f t="shared" si="21"/>
        <v>16250.152048</v>
      </c>
      <c r="I376" s="61">
        <v>0</v>
      </c>
      <c r="J376" s="61">
        <v>0</v>
      </c>
      <c r="K376" s="61">
        <v>0</v>
      </c>
      <c r="L376" s="69">
        <f>'по МК 56'!E132/1000</f>
        <v>16250.152048</v>
      </c>
      <c r="M376" s="94">
        <v>0</v>
      </c>
      <c r="N376" s="10"/>
      <c r="O376" s="9"/>
    </row>
    <row r="377" spans="2:16" ht="33" hidden="1" x14ac:dyDescent="0.25">
      <c r="B377" s="33" t="s">
        <v>299</v>
      </c>
      <c r="C377" s="125"/>
      <c r="D377" s="125"/>
      <c r="E377" s="160"/>
      <c r="F377" s="86">
        <f>60.3*8-482</f>
        <v>0.39999999999997726</v>
      </c>
      <c r="G377" s="88">
        <f>0.0603-0.0603</f>
        <v>0</v>
      </c>
      <c r="H377" s="69">
        <f t="shared" si="21"/>
        <v>0</v>
      </c>
      <c r="I377" s="61">
        <v>0</v>
      </c>
      <c r="J377" s="61">
        <v>0</v>
      </c>
      <c r="K377" s="61">
        <v>0</v>
      </c>
      <c r="L377" s="69">
        <v>0</v>
      </c>
      <c r="M377" s="94">
        <f>3000-3000</f>
        <v>0</v>
      </c>
      <c r="P377" s="9"/>
    </row>
    <row r="378" spans="2:16" ht="33" hidden="1" x14ac:dyDescent="0.25">
      <c r="B378" s="33" t="s">
        <v>300</v>
      </c>
      <c r="C378" s="125"/>
      <c r="D378" s="125"/>
      <c r="E378" s="160"/>
      <c r="F378" s="86">
        <f>267*8-2136</f>
        <v>0</v>
      </c>
      <c r="G378" s="88">
        <f>0.267-0.267</f>
        <v>0</v>
      </c>
      <c r="H378" s="69">
        <f t="shared" si="21"/>
        <v>0</v>
      </c>
      <c r="I378" s="61">
        <v>0</v>
      </c>
      <c r="J378" s="61">
        <v>0</v>
      </c>
      <c r="K378" s="61">
        <v>0</v>
      </c>
      <c r="L378" s="69">
        <v>0</v>
      </c>
      <c r="M378" s="94">
        <f>5000-5000</f>
        <v>0</v>
      </c>
    </row>
    <row r="379" spans="2:16" ht="33" hidden="1" x14ac:dyDescent="0.25">
      <c r="B379" s="135" t="s">
        <v>628</v>
      </c>
      <c r="C379" s="125"/>
      <c r="D379" s="125"/>
      <c r="E379" s="160"/>
      <c r="F379" s="86">
        <f>5090*8-40720</f>
        <v>0</v>
      </c>
      <c r="G379" s="88">
        <f>5.09-5.09</f>
        <v>0</v>
      </c>
      <c r="H379" s="69">
        <f t="shared" si="21"/>
        <v>0</v>
      </c>
      <c r="I379" s="61">
        <v>0</v>
      </c>
      <c r="J379" s="61">
        <v>0</v>
      </c>
      <c r="K379" s="61">
        <v>0</v>
      </c>
      <c r="L379" s="69">
        <v>0</v>
      </c>
      <c r="M379" s="94">
        <f>2687091.49-2687091.49</f>
        <v>0</v>
      </c>
    </row>
    <row r="380" spans="2:16" ht="48.75" hidden="1" customHeight="1" x14ac:dyDescent="0.25">
      <c r="B380" s="33" t="str">
        <f>'перечень объектов'!B455</f>
        <v>Капитальный ремонт автомобильной дороги по ул. Тургенева на участке от ул. Салтыкова-Щедрина до моста Тургеневский через р. Орлик</v>
      </c>
      <c r="C380" s="125"/>
      <c r="D380" s="125"/>
      <c r="E380" s="160"/>
      <c r="F380" s="86">
        <v>8480</v>
      </c>
      <c r="G380" s="88">
        <v>0.53</v>
      </c>
      <c r="H380" s="69">
        <f t="shared" si="21"/>
        <v>171900</v>
      </c>
      <c r="I380" s="61">
        <v>0</v>
      </c>
      <c r="J380" s="61">
        <v>0</v>
      </c>
      <c r="K380" s="61">
        <v>0</v>
      </c>
      <c r="L380" s="69">
        <v>0</v>
      </c>
      <c r="M380" s="94">
        <f>'перечень объектов'!C455</f>
        <v>171900</v>
      </c>
      <c r="O380" s="180"/>
      <c r="P380" s="181"/>
    </row>
    <row r="381" spans="2:16" ht="33" hidden="1" x14ac:dyDescent="0.25">
      <c r="B381" s="33" t="str">
        <f>'перечень объектов'!B456</f>
        <v>Капитальный ремонт автомобильной дороги по ул. Максима Горького на участке от ул. Брестская до ул. 7 Ноября</v>
      </c>
      <c r="C381" s="125"/>
      <c r="D381" s="125"/>
      <c r="E381" s="160"/>
      <c r="F381" s="86">
        <v>7665</v>
      </c>
      <c r="G381" s="88">
        <v>0.36499999999999999</v>
      </c>
      <c r="H381" s="69">
        <f t="shared" si="21"/>
        <v>101200</v>
      </c>
      <c r="I381" s="61">
        <v>0</v>
      </c>
      <c r="J381" s="61">
        <v>0</v>
      </c>
      <c r="K381" s="61">
        <v>0</v>
      </c>
      <c r="L381" s="69">
        <v>0</v>
      </c>
      <c r="M381" s="94">
        <f>'перечень объектов'!C456</f>
        <v>101200</v>
      </c>
    </row>
    <row r="382" spans="2:16" hidden="1" x14ac:dyDescent="0.25">
      <c r="B382" s="33" t="str">
        <f>'перечень объектов'!B457</f>
        <v>Капитальный ремонт автомобильной дороги по ул. Брестская</v>
      </c>
      <c r="C382" s="125"/>
      <c r="D382" s="125"/>
      <c r="E382" s="160"/>
      <c r="F382" s="86">
        <v>6985</v>
      </c>
      <c r="G382" s="88">
        <v>0.5</v>
      </c>
      <c r="H382" s="69">
        <f t="shared" si="21"/>
        <v>191400</v>
      </c>
      <c r="I382" s="61">
        <v>0</v>
      </c>
      <c r="J382" s="61">
        <v>0</v>
      </c>
      <c r="K382" s="61">
        <v>0</v>
      </c>
      <c r="L382" s="69">
        <v>0</v>
      </c>
      <c r="M382" s="94">
        <f>'перечень объектов'!C457</f>
        <v>191400</v>
      </c>
    </row>
    <row r="383" spans="2:16" hidden="1" x14ac:dyDescent="0.25">
      <c r="B383" s="33" t="str">
        <f>'перечень объектов'!B458</f>
        <v>Капитальный ремонт автомобильной дороги по ул. Красина</v>
      </c>
      <c r="C383" s="125"/>
      <c r="D383" s="125"/>
      <c r="E383" s="160"/>
      <c r="F383" s="86">
        <v>14578</v>
      </c>
      <c r="G383" s="88">
        <v>1.2149000000000001</v>
      </c>
      <c r="H383" s="69">
        <f t="shared" si="21"/>
        <v>110000</v>
      </c>
      <c r="I383" s="61">
        <v>0</v>
      </c>
      <c r="J383" s="61">
        <v>0</v>
      </c>
      <c r="K383" s="61">
        <v>0</v>
      </c>
      <c r="L383" s="69">
        <v>0</v>
      </c>
      <c r="M383" s="94">
        <f>'перечень объектов'!C458</f>
        <v>110000</v>
      </c>
    </row>
    <row r="384" spans="2:16" ht="35.25" hidden="1" customHeight="1" x14ac:dyDescent="0.25">
      <c r="B384" s="33" t="str">
        <f>'перечень объектов'!B459</f>
        <v>Капитальный ремонт автомобильной дороги по ул. Красноармейская</v>
      </c>
      <c r="C384" s="125"/>
      <c r="D384" s="125"/>
      <c r="E384" s="160"/>
      <c r="F384" s="86">
        <v>13118</v>
      </c>
      <c r="G384" s="88">
        <v>0.9375</v>
      </c>
      <c r="H384" s="69">
        <f t="shared" si="21"/>
        <v>324500</v>
      </c>
      <c r="I384" s="61">
        <v>0</v>
      </c>
      <c r="J384" s="61">
        <v>0</v>
      </c>
      <c r="K384" s="61">
        <v>0</v>
      </c>
      <c r="L384" s="69">
        <v>0</v>
      </c>
      <c r="M384" s="94">
        <f>'перечень объектов'!C459</f>
        <v>324500</v>
      </c>
    </row>
    <row r="385" spans="2:16" ht="33" hidden="1" x14ac:dyDescent="0.25">
      <c r="B385" s="33" t="str">
        <f>'перечень объектов'!B460</f>
        <v>Капитальный ремонт автомобильной дороги по ул. Сурена Шаумяна</v>
      </c>
      <c r="C385" s="125"/>
      <c r="D385" s="125"/>
      <c r="E385" s="160"/>
      <c r="F385" s="86">
        <v>11718</v>
      </c>
      <c r="G385" s="88">
        <v>0.83699999999999997</v>
      </c>
      <c r="H385" s="69">
        <f t="shared" si="21"/>
        <v>309100</v>
      </c>
      <c r="I385" s="61">
        <v>0</v>
      </c>
      <c r="J385" s="61">
        <v>0</v>
      </c>
      <c r="K385" s="61">
        <v>0</v>
      </c>
      <c r="L385" s="69">
        <v>0</v>
      </c>
      <c r="M385" s="94">
        <f>'перечень объектов'!C460</f>
        <v>309100</v>
      </c>
    </row>
    <row r="386" spans="2:16" ht="33" hidden="1" x14ac:dyDescent="0.25">
      <c r="B386" s="33" t="str">
        <f>'перечень объектов'!B461</f>
        <v>Капитальный ремонт автомобильной дороги по ул Тургенева на участке от ул. Брестская до дома № 17 по ул. Ленина</v>
      </c>
      <c r="C386" s="125"/>
      <c r="D386" s="125"/>
      <c r="E386" s="160"/>
      <c r="F386" s="86">
        <v>1856</v>
      </c>
      <c r="G386" s="88">
        <v>0.11600000000000001</v>
      </c>
      <c r="H386" s="69">
        <f t="shared" si="21"/>
        <v>25000</v>
      </c>
      <c r="I386" s="61">
        <v>0</v>
      </c>
      <c r="J386" s="61">
        <v>0</v>
      </c>
      <c r="K386" s="61">
        <v>0</v>
      </c>
      <c r="L386" s="69">
        <v>0</v>
      </c>
      <c r="M386" s="94">
        <f>'перечень объектов'!C461</f>
        <v>25000</v>
      </c>
    </row>
    <row r="387" spans="2:16" ht="49.5" hidden="1" x14ac:dyDescent="0.25">
      <c r="B387" s="33" t="str">
        <f>'перечень объектов'!B462</f>
        <v>Капитальный ремонт автомобильной дороги по ул. 1-ая Посадская на участке от ул. Комсомольская до моста Тургеневский через р. Орлик ул. Тургенева</v>
      </c>
      <c r="C387" s="125"/>
      <c r="D387" s="125"/>
      <c r="E387" s="160"/>
      <c r="F387" s="86">
        <v>7700</v>
      </c>
      <c r="G387" s="88">
        <v>0.38500000000000001</v>
      </c>
      <c r="H387" s="69">
        <f t="shared" si="21"/>
        <v>160600</v>
      </c>
      <c r="I387" s="61">
        <v>0</v>
      </c>
      <c r="J387" s="61">
        <v>0</v>
      </c>
      <c r="K387" s="61">
        <v>0</v>
      </c>
      <c r="L387" s="69">
        <v>0</v>
      </c>
      <c r="M387" s="94">
        <f>'перечень объектов'!C462</f>
        <v>160600</v>
      </c>
    </row>
    <row r="388" spans="2:16" ht="49.5" hidden="1" x14ac:dyDescent="0.25">
      <c r="B388" s="33" t="s">
        <v>476</v>
      </c>
      <c r="C388" s="125"/>
      <c r="D388" s="125"/>
      <c r="E388" s="160"/>
      <c r="F388" s="86">
        <v>7032</v>
      </c>
      <c r="G388" s="88">
        <v>0.879</v>
      </c>
      <c r="H388" s="84">
        <f t="shared" ref="H388:H390" si="22">SUM(I388:M388)</f>
        <v>86000</v>
      </c>
      <c r="I388" s="69">
        <v>0</v>
      </c>
      <c r="J388" s="69">
        <v>0</v>
      </c>
      <c r="K388" s="69">
        <v>0</v>
      </c>
      <c r="L388" s="69">
        <v>0</v>
      </c>
      <c r="M388" s="94">
        <v>86000</v>
      </c>
      <c r="O388" s="9"/>
    </row>
    <row r="389" spans="2:16" ht="33" x14ac:dyDescent="0.25">
      <c r="B389" s="33" t="s">
        <v>27</v>
      </c>
      <c r="C389" s="125"/>
      <c r="D389" s="125"/>
      <c r="E389" s="160"/>
      <c r="F389" s="86"/>
      <c r="G389" s="88"/>
      <c r="H389" s="84">
        <f t="shared" si="22"/>
        <v>11897.765479999998</v>
      </c>
      <c r="I389" s="69">
        <v>0</v>
      </c>
      <c r="J389" s="69">
        <f>3936.007+540</f>
        <v>4476.0069999999996</v>
      </c>
      <c r="K389" s="69">
        <f>2100.64497+1374.11351</f>
        <v>3474.7584799999995</v>
      </c>
      <c r="L389" s="69">
        <v>0</v>
      </c>
      <c r="M389" s="94">
        <f>'перечень объектов'!C463</f>
        <v>3947</v>
      </c>
    </row>
    <row r="390" spans="2:16" x14ac:dyDescent="0.25">
      <c r="B390" s="135" t="s">
        <v>28</v>
      </c>
      <c r="C390" s="125"/>
      <c r="D390" s="125"/>
      <c r="E390" s="160"/>
      <c r="F390" s="86"/>
      <c r="G390" s="88"/>
      <c r="H390" s="84">
        <f t="shared" si="22"/>
        <v>79157.950702842092</v>
      </c>
      <c r="I390" s="69">
        <f>7318.72345+3413.74478284208+10042.62446+18021.04791+9931.6025+30430.2076</f>
        <v>79157.950702842092</v>
      </c>
      <c r="J390" s="69">
        <f>20904.8188868688-20904.8188868688</f>
        <v>0</v>
      </c>
      <c r="K390" s="69">
        <v>0</v>
      </c>
      <c r="L390" s="69">
        <v>0</v>
      </c>
      <c r="M390" s="94">
        <v>0</v>
      </c>
    </row>
    <row r="391" spans="2:16" ht="17.25" x14ac:dyDescent="0.25">
      <c r="B391" s="72" t="s">
        <v>16</v>
      </c>
      <c r="C391" s="125"/>
      <c r="D391" s="125"/>
      <c r="E391" s="160"/>
      <c r="F391" s="126"/>
      <c r="G391" s="125"/>
      <c r="H391" s="84"/>
      <c r="I391" s="69"/>
      <c r="J391" s="69"/>
      <c r="K391" s="69"/>
      <c r="L391" s="69"/>
      <c r="M391" s="94"/>
      <c r="P391" s="9"/>
    </row>
    <row r="392" spans="2:16" x14ac:dyDescent="0.25">
      <c r="B392" s="33" t="s">
        <v>77</v>
      </c>
      <c r="C392" s="125"/>
      <c r="D392" s="125"/>
      <c r="E392" s="160"/>
      <c r="F392" s="126"/>
      <c r="G392" s="125"/>
      <c r="H392" s="69">
        <f>SUM(I392:M392)</f>
        <v>0</v>
      </c>
      <c r="I392" s="69">
        <v>0</v>
      </c>
      <c r="J392" s="69">
        <v>0</v>
      </c>
      <c r="K392" s="69">
        <v>0</v>
      </c>
      <c r="L392" s="69">
        <v>0</v>
      </c>
      <c r="M392" s="94">
        <v>0</v>
      </c>
      <c r="N392" s="47"/>
      <c r="O392" s="181"/>
      <c r="P392" s="181"/>
    </row>
    <row r="393" spans="2:16" x14ac:dyDescent="0.25">
      <c r="B393" s="33" t="s">
        <v>78</v>
      </c>
      <c r="C393" s="125"/>
      <c r="D393" s="125"/>
      <c r="E393" s="160"/>
      <c r="F393" s="126"/>
      <c r="G393" s="125"/>
      <c r="H393" s="69">
        <f>SUM(I393:M393)</f>
        <v>1506436.9114489206</v>
      </c>
      <c r="I393" s="69">
        <v>126480.05765669997</v>
      </c>
      <c r="J393" s="69">
        <f>'перечень объектов'!F199</f>
        <v>312714.46092150005</v>
      </c>
      <c r="K393" s="69">
        <f>'перечень объектов'!F265</f>
        <v>617425.19286770409</v>
      </c>
      <c r="L393" s="69">
        <f>'перечень объектов'!F364</f>
        <v>349817.20000311668</v>
      </c>
      <c r="M393" s="94">
        <f>'перечень объектов'!F446</f>
        <v>99999.999999899999</v>
      </c>
      <c r="N393" s="47"/>
      <c r="O393" s="181"/>
      <c r="P393" s="181"/>
    </row>
    <row r="394" spans="2:16" x14ac:dyDescent="0.25">
      <c r="B394" s="182" t="s">
        <v>10</v>
      </c>
      <c r="C394" s="183"/>
      <c r="D394" s="183"/>
      <c r="E394" s="184"/>
      <c r="F394" s="185"/>
      <c r="G394" s="183"/>
      <c r="H394" s="186">
        <f>SUM(I394:M394)</f>
        <v>25738.01666648707</v>
      </c>
      <c r="I394" s="186">
        <f>4096.6+280.7</f>
        <v>4377.3</v>
      </c>
      <c r="J394" s="186">
        <f>'перечень объектов'!G199</f>
        <v>3158.7319285000244</v>
      </c>
      <c r="K394" s="186">
        <f>'перечень объектов'!G265</f>
        <v>9711.376620178793</v>
      </c>
      <c r="L394" s="186">
        <f>'перечень объектов'!G364</f>
        <v>3533.5071077082548</v>
      </c>
      <c r="M394" s="187">
        <f>'перечень объектов'!G446</f>
        <v>4957.1010101000002</v>
      </c>
      <c r="N394" s="47"/>
      <c r="O394" s="181"/>
      <c r="P394" s="181"/>
    </row>
    <row r="395" spans="2:16" x14ac:dyDescent="0.25">
      <c r="B395" s="178"/>
      <c r="C395" s="178"/>
      <c r="D395" s="178"/>
      <c r="E395" s="178"/>
      <c r="F395" s="178"/>
      <c r="G395" s="178"/>
      <c r="H395" s="77"/>
      <c r="I395" s="77"/>
      <c r="J395" s="77"/>
      <c r="K395" s="77"/>
      <c r="L395" s="77"/>
      <c r="M395" s="77"/>
      <c r="O395" s="181"/>
      <c r="P395" s="181"/>
    </row>
    <row r="396" spans="2:16" hidden="1" x14ac:dyDescent="0.25">
      <c r="B396" s="178"/>
      <c r="C396" s="188"/>
      <c r="D396" s="188"/>
      <c r="E396" s="188"/>
      <c r="F396" s="189"/>
      <c r="G396" s="190"/>
      <c r="H396" s="191"/>
      <c r="I396" s="192"/>
      <c r="J396" s="4"/>
      <c r="L396" s="4"/>
      <c r="M396" s="4"/>
    </row>
    <row r="397" spans="2:16" x14ac:dyDescent="0.25">
      <c r="B397" s="178"/>
      <c r="C397" s="188"/>
      <c r="D397" s="188"/>
      <c r="E397" s="188"/>
      <c r="F397" s="188"/>
      <c r="G397" s="188"/>
      <c r="H397" s="4"/>
      <c r="I397" s="4"/>
      <c r="J397" s="4"/>
      <c r="L397" s="4"/>
      <c r="M397" s="4"/>
    </row>
    <row r="398" spans="2:16" s="193" customFormat="1" ht="21" x14ac:dyDescent="0.25">
      <c r="B398" s="194" t="s">
        <v>631</v>
      </c>
      <c r="C398" s="194"/>
      <c r="D398" s="194"/>
      <c r="E398" s="195"/>
      <c r="F398" s="195"/>
      <c r="G398" s="195"/>
      <c r="H398" s="8"/>
      <c r="I398" s="8"/>
      <c r="J398" s="8"/>
      <c r="K398" s="8"/>
      <c r="L398" s="8"/>
      <c r="M398" s="8"/>
      <c r="N398" s="196"/>
    </row>
    <row r="399" spans="2:16" s="193" customFormat="1" ht="21" x14ac:dyDescent="0.25">
      <c r="B399" s="194" t="s">
        <v>125</v>
      </c>
      <c r="C399" s="194"/>
      <c r="D399" s="194"/>
      <c r="E399" s="195"/>
      <c r="F399" s="719"/>
      <c r="G399" s="719"/>
      <c r="H399" s="197"/>
      <c r="I399" s="737" t="s">
        <v>128</v>
      </c>
      <c r="J399" s="737"/>
      <c r="K399" s="8"/>
      <c r="L399" s="8"/>
      <c r="M399" s="8"/>
      <c r="N399" s="196"/>
    </row>
    <row r="400" spans="2:16" ht="18.75" x14ac:dyDescent="0.25">
      <c r="B400" s="198"/>
      <c r="C400" s="198"/>
      <c r="D400" s="198"/>
      <c r="E400" s="199"/>
      <c r="F400" s="200"/>
      <c r="G400" s="200"/>
      <c r="H400" s="192"/>
      <c r="I400" s="4"/>
      <c r="J400" s="4"/>
      <c r="L400" s="4"/>
      <c r="M400" s="4"/>
    </row>
    <row r="402" spans="2:17" x14ac:dyDescent="0.25">
      <c r="B402" s="201"/>
      <c r="F402" s="202"/>
      <c r="O402" s="9"/>
      <c r="Q402" s="9"/>
    </row>
    <row r="404" spans="2:17" ht="18.75" x14ac:dyDescent="0.25">
      <c r="B404" s="203"/>
      <c r="C404" s="203"/>
      <c r="D404" s="203"/>
      <c r="E404" s="204"/>
      <c r="F404" s="204"/>
      <c r="G404" s="204"/>
    </row>
    <row r="405" spans="2:17" ht="18.75" x14ac:dyDescent="0.25">
      <c r="B405" s="203"/>
      <c r="C405" s="203"/>
      <c r="D405" s="203"/>
      <c r="E405" s="203"/>
      <c r="F405" s="714"/>
      <c r="G405" s="714"/>
      <c r="H405" s="205"/>
    </row>
    <row r="406" spans="2:17" ht="18.75" x14ac:dyDescent="0.25">
      <c r="B406" s="203"/>
      <c r="C406" s="203"/>
      <c r="D406" s="203"/>
      <c r="E406" s="204"/>
      <c r="F406" s="714"/>
      <c r="G406" s="714"/>
      <c r="H406" s="205"/>
    </row>
  </sheetData>
  <mergeCells count="78">
    <mergeCell ref="B15:B16"/>
    <mergeCell ref="I41:I43"/>
    <mergeCell ref="I19:M19"/>
    <mergeCell ref="B237:M237"/>
    <mergeCell ref="I399:J399"/>
    <mergeCell ref="B165:M165"/>
    <mergeCell ref="B201:M201"/>
    <mergeCell ref="H137:H139"/>
    <mergeCell ref="B137:B139"/>
    <mergeCell ref="I137:I139"/>
    <mergeCell ref="F136:G137"/>
    <mergeCell ref="C167:C195"/>
    <mergeCell ref="M41:M43"/>
    <mergeCell ref="J8:M8"/>
    <mergeCell ref="B13:M13"/>
    <mergeCell ref="K41:K43"/>
    <mergeCell ref="J2:M2"/>
    <mergeCell ref="B39:M39"/>
    <mergeCell ref="J4:M4"/>
    <mergeCell ref="J41:J43"/>
    <mergeCell ref="E18:E23"/>
    <mergeCell ref="F18:G23"/>
    <mergeCell ref="D18:D23"/>
    <mergeCell ref="J3:M3"/>
    <mergeCell ref="H35:M35"/>
    <mergeCell ref="C15:C16"/>
    <mergeCell ref="J7:M7"/>
    <mergeCell ref="J9:M9"/>
    <mergeCell ref="C26:C34"/>
    <mergeCell ref="F406:G406"/>
    <mergeCell ref="I206:M206"/>
    <mergeCell ref="C212:C222"/>
    <mergeCell ref="F211:G212"/>
    <mergeCell ref="F230:G231"/>
    <mergeCell ref="F238:G239"/>
    <mergeCell ref="F399:G399"/>
    <mergeCell ref="F405:G405"/>
    <mergeCell ref="K239:K241"/>
    <mergeCell ref="B135:M135"/>
    <mergeCell ref="D239:D241"/>
    <mergeCell ref="I131:M131"/>
    <mergeCell ref="H239:H241"/>
    <mergeCell ref="E137:E139"/>
    <mergeCell ref="M137:M139"/>
    <mergeCell ref="E239:E241"/>
    <mergeCell ref="L137:L139"/>
    <mergeCell ref="I197:M197"/>
    <mergeCell ref="I239:I241"/>
    <mergeCell ref="J239:J241"/>
    <mergeCell ref="M239:M241"/>
    <mergeCell ref="K137:K139"/>
    <mergeCell ref="B239:B241"/>
    <mergeCell ref="D137:D139"/>
    <mergeCell ref="L239:L241"/>
    <mergeCell ref="C137:C158"/>
    <mergeCell ref="I160:M160"/>
    <mergeCell ref="F202:G203"/>
    <mergeCell ref="C230:C232"/>
    <mergeCell ref="C238:C241"/>
    <mergeCell ref="F166:G167"/>
    <mergeCell ref="B210:M210"/>
    <mergeCell ref="J137:J139"/>
    <mergeCell ref="J5:M5"/>
    <mergeCell ref="E41:E43"/>
    <mergeCell ref="J10:M10"/>
    <mergeCell ref="C18:C23"/>
    <mergeCell ref="D15:E15"/>
    <mergeCell ref="F25:G26"/>
    <mergeCell ref="H15:M15"/>
    <mergeCell ref="F15:G16"/>
    <mergeCell ref="C40:C129"/>
    <mergeCell ref="B12:M12"/>
    <mergeCell ref="L41:L43"/>
    <mergeCell ref="B41:B43"/>
    <mergeCell ref="B24:M24"/>
    <mergeCell ref="D41:D43"/>
    <mergeCell ref="F40:G41"/>
    <mergeCell ref="H41:H43"/>
  </mergeCells>
  <pageMargins left="0.23622047244094491" right="0.23622047244094491" top="0.74803149606299213" bottom="0.74803149606299213" header="0.31496062992125984" footer="0.31496062992125984"/>
  <pageSetup paperSize="9" scale="46" orientation="landscape"/>
  <headerFooter>
    <oddFooter>&amp;C&amp;P</oddFooter>
  </headerFooter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workbookViewId="0">
      <selection activeCell="H16" sqref="H16"/>
    </sheetView>
  </sheetViews>
  <sheetFormatPr defaultColWidth="9.140625" defaultRowHeight="15" x14ac:dyDescent="0.25"/>
  <cols>
    <col min="1" max="1" width="9.140625" style="470"/>
    <col min="2" max="2" width="63.7109375" style="531" customWidth="1"/>
    <col min="3" max="3" width="16.7109375" style="531" customWidth="1"/>
    <col min="4" max="6" width="16.7109375" style="207" customWidth="1"/>
    <col min="7" max="7" width="17" style="207" customWidth="1"/>
    <col min="8" max="13" width="14.7109375" style="207" customWidth="1"/>
    <col min="14" max="16384" width="9.140625" style="207"/>
  </cols>
  <sheetData>
    <row r="2" spans="1:7" ht="24" customHeight="1" x14ac:dyDescent="0.25">
      <c r="B2" s="758"/>
      <c r="C2" s="758"/>
      <c r="D2" s="758"/>
      <c r="E2" s="758"/>
    </row>
    <row r="3" spans="1:7" x14ac:dyDescent="0.25">
      <c r="F3" s="206" t="s">
        <v>382</v>
      </c>
    </row>
    <row r="4" spans="1:7" s="206" customFormat="1" ht="18" customHeight="1" x14ac:dyDescent="0.25">
      <c r="A4" s="813" t="s">
        <v>379</v>
      </c>
      <c r="B4" s="814"/>
      <c r="C4" s="811">
        <v>2022</v>
      </c>
      <c r="D4" s="812"/>
      <c r="E4" s="811">
        <v>2023</v>
      </c>
      <c r="F4" s="812"/>
    </row>
    <row r="5" spans="1:7" s="206" customFormat="1" ht="18" customHeight="1" x14ac:dyDescent="0.25">
      <c r="A5" s="815"/>
      <c r="B5" s="816"/>
      <c r="C5" s="605" t="s">
        <v>374</v>
      </c>
      <c r="D5" s="606" t="s">
        <v>381</v>
      </c>
      <c r="E5" s="605" t="s">
        <v>374</v>
      </c>
      <c r="F5" s="607" t="s">
        <v>380</v>
      </c>
    </row>
    <row r="6" spans="1:7" ht="75" x14ac:dyDescent="0.25">
      <c r="A6" s="608" t="s">
        <v>244</v>
      </c>
      <c r="B6" s="609" t="str">
        <f>'целевые показатели'!B26</f>
        <v>Содержание автомобильных дорог общего пользования местного значения и искусственных сооружений на них, приобретение дорожной техники, необходимой для содержания автомобильных дорог общего пользования местного значения</v>
      </c>
      <c r="C6" s="610">
        <f>SUM(C7:C14)</f>
        <v>929553100.53622353</v>
      </c>
      <c r="D6" s="611">
        <f>SUM(D7:D14)</f>
        <v>755148797.63880002</v>
      </c>
      <c r="E6" s="610">
        <f>SUM(E7:E14)</f>
        <v>500000000.00099999</v>
      </c>
      <c r="F6" s="611">
        <f>SUM(F7:F14)</f>
        <v>999999999.99740005</v>
      </c>
    </row>
    <row r="7" spans="1:7" ht="18" customHeight="1" x14ac:dyDescent="0.25">
      <c r="A7" s="612"/>
      <c r="B7" s="613" t="s">
        <v>377</v>
      </c>
      <c r="C7" s="614">
        <v>634027439.9823705</v>
      </c>
      <c r="D7" s="615">
        <v>539873168.54790008</v>
      </c>
      <c r="E7" s="616">
        <v>203798450.08709997</v>
      </c>
      <c r="F7" s="615">
        <v>700000000</v>
      </c>
      <c r="G7" s="213"/>
    </row>
    <row r="8" spans="1:7" ht="18" customHeight="1" x14ac:dyDescent="0.25">
      <c r="A8" s="612"/>
      <c r="B8" s="613" t="s">
        <v>376</v>
      </c>
      <c r="C8" s="617">
        <v>41844110.640453003</v>
      </c>
      <c r="D8" s="615">
        <v>19164888.558000002</v>
      </c>
      <c r="E8" s="616">
        <v>42520000.000499994</v>
      </c>
      <c r="F8" s="615">
        <v>36183115.490000002</v>
      </c>
    </row>
    <row r="9" spans="1:7" ht="18" customHeight="1" x14ac:dyDescent="0.25">
      <c r="A9" s="612"/>
      <c r="B9" s="613" t="s">
        <v>169</v>
      </c>
      <c r="C9" s="617">
        <v>19800000</v>
      </c>
      <c r="D9" s="615">
        <v>13769682.35</v>
      </c>
      <c r="E9" s="618">
        <v>19800000</v>
      </c>
      <c r="F9" s="615">
        <v>19800000</v>
      </c>
    </row>
    <row r="10" spans="1:7" ht="30" x14ac:dyDescent="0.25">
      <c r="A10" s="612"/>
      <c r="B10" s="613" t="s">
        <v>375</v>
      </c>
      <c r="C10" s="617">
        <v>99864665.406000003</v>
      </c>
      <c r="D10" s="615">
        <v>59539964.142699994</v>
      </c>
      <c r="E10" s="618">
        <v>99864665.406000003</v>
      </c>
      <c r="F10" s="615">
        <v>100000000</v>
      </c>
    </row>
    <row r="11" spans="1:7" ht="30" x14ac:dyDescent="0.25">
      <c r="A11" s="612"/>
      <c r="B11" s="613" t="s">
        <v>170</v>
      </c>
      <c r="C11" s="617">
        <v>3984919.9433999998</v>
      </c>
      <c r="D11" s="615">
        <v>3492201.0717000002</v>
      </c>
      <c r="E11" s="618">
        <v>3984919.9433999998</v>
      </c>
      <c r="F11" s="615">
        <v>3984919.9433999998</v>
      </c>
    </row>
    <row r="12" spans="1:7" ht="18" customHeight="1" x14ac:dyDescent="0.25">
      <c r="A12" s="612"/>
      <c r="B12" s="613" t="s">
        <v>185</v>
      </c>
      <c r="C12" s="617">
        <v>115031964.56400001</v>
      </c>
      <c r="D12" s="615">
        <v>114613072.4516</v>
      </c>
      <c r="E12" s="619">
        <v>115031964.56400001</v>
      </c>
      <c r="F12" s="620">
        <v>115031964.56400001</v>
      </c>
    </row>
    <row r="13" spans="1:7" ht="30" customHeight="1" x14ac:dyDescent="0.25">
      <c r="A13" s="612"/>
      <c r="B13" s="613" t="s">
        <v>224</v>
      </c>
      <c r="C13" s="617">
        <v>10000000</v>
      </c>
      <c r="D13" s="615">
        <v>2717327.4068999998</v>
      </c>
      <c r="E13" s="614">
        <v>10000000</v>
      </c>
      <c r="F13" s="615">
        <v>15000000</v>
      </c>
    </row>
    <row r="14" spans="1:7" ht="30" x14ac:dyDescent="0.25">
      <c r="A14" s="621"/>
      <c r="B14" s="622" t="s">
        <v>25</v>
      </c>
      <c r="C14" s="623">
        <v>5000000</v>
      </c>
      <c r="D14" s="624">
        <v>1978493.11</v>
      </c>
      <c r="E14" s="625">
        <v>5000000</v>
      </c>
      <c r="F14" s="624">
        <v>10000000</v>
      </c>
    </row>
    <row r="15" spans="1:7" ht="30" x14ac:dyDescent="0.25">
      <c r="A15" s="608" t="s">
        <v>245</v>
      </c>
      <c r="B15" s="609" t="str">
        <f>'целевые показатели'!B41</f>
        <v>Ремонт автомобильных дорог общего пользования местного значения и искусственных сооружений на них</v>
      </c>
      <c r="C15" s="626">
        <v>221092682.877</v>
      </c>
      <c r="D15" s="627">
        <v>63035149.939899996</v>
      </c>
      <c r="E15" s="628">
        <v>50320404.100000001</v>
      </c>
      <c r="F15" s="627">
        <v>350000000</v>
      </c>
      <c r="G15" s="213"/>
    </row>
    <row r="16" spans="1:7" ht="78" customHeight="1" x14ac:dyDescent="0.25">
      <c r="A16" s="612" t="s">
        <v>246</v>
      </c>
      <c r="B16" s="629" t="str">
        <f>'целевые показатели'!B137</f>
        <v>Ремонт автомобильных дорог в рамках реализации регионального проекта "Программа комплексного развития объединенной дорожной сети Орловской области,  а также Орловской городской агломерации на 2019-2024 годы" национального проекта "Безопасные качественные дороги"</v>
      </c>
      <c r="C16" s="617">
        <v>300000000</v>
      </c>
      <c r="D16" s="615">
        <v>242435652.06560001</v>
      </c>
      <c r="E16" s="617">
        <v>300000000</v>
      </c>
      <c r="F16" s="615"/>
    </row>
    <row r="17" spans="1:6" ht="30" x14ac:dyDescent="0.25">
      <c r="A17" s="612" t="s">
        <v>247</v>
      </c>
      <c r="B17" s="629" t="str">
        <f>'целевые показатели'!B167</f>
        <v>Устройство (монтаж) средств организации и регулирования дорожного движения на автомобильных дорогах города Орла</v>
      </c>
      <c r="C17" s="614">
        <v>0</v>
      </c>
      <c r="D17" s="615">
        <v>8268672.6999999993</v>
      </c>
      <c r="E17" s="630">
        <v>0</v>
      </c>
      <c r="F17" s="615">
        <v>20000000</v>
      </c>
    </row>
    <row r="18" spans="1:6" ht="105" x14ac:dyDescent="0.25">
      <c r="A18" s="612" t="s">
        <v>248</v>
      </c>
      <c r="B18" s="629" t="str">
        <f>'целевые показатели'!B203</f>
        <v>Устройство интеллектуальных транспортных систем по организации дорожного движения в городе Орле в рамках реализации регионального проекта "Программа комплексного развития объединенной дорожной сети Орловской области, а а также Орловской городской агломерации на 2019-2024 годы" национального проекта "Безопасные и качественные автомобильные дороги"</v>
      </c>
      <c r="C18" s="614">
        <v>79600000</v>
      </c>
      <c r="D18" s="615"/>
      <c r="E18" s="630">
        <v>83239700</v>
      </c>
      <c r="F18" s="615"/>
    </row>
    <row r="19" spans="1:6" ht="30" x14ac:dyDescent="0.25">
      <c r="A19" s="621" t="s">
        <v>378</v>
      </c>
      <c r="B19" s="631" t="str">
        <f>'целевые показатели'!B239</f>
        <v>Капитальный ремонт участков автомобильных дорог общего пользования местного значения в городе Орёл</v>
      </c>
      <c r="C19" s="623">
        <v>135364827.65300003</v>
      </c>
      <c r="D19" s="624">
        <v>34200000</v>
      </c>
      <c r="E19" s="632"/>
      <c r="F19" s="624"/>
    </row>
    <row r="21" spans="1:6" x14ac:dyDescent="0.25">
      <c r="C21" s="633"/>
    </row>
  </sheetData>
  <mergeCells count="4">
    <mergeCell ref="C4:D4"/>
    <mergeCell ref="A4:B5"/>
    <mergeCell ref="E4:F4"/>
    <mergeCell ref="B2:E2"/>
  </mergeCells>
  <pageMargins left="0.7" right="0.7" top="0.75" bottom="0.75" header="0.3" footer="0.3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7"/>
  <sheetViews>
    <sheetView workbookViewId="0">
      <selection activeCell="G20" sqref="G20"/>
    </sheetView>
  </sheetViews>
  <sheetFormatPr defaultColWidth="9.140625" defaultRowHeight="15.75" x14ac:dyDescent="0.25"/>
  <cols>
    <col min="1" max="1" width="56.28515625" style="634" customWidth="1"/>
    <col min="2" max="2" width="14.7109375" style="440" customWidth="1"/>
    <col min="3" max="3" width="20.140625" style="417" customWidth="1"/>
    <col min="4" max="16384" width="9.140625" style="417"/>
  </cols>
  <sheetData>
    <row r="4" spans="1:4" x14ac:dyDescent="0.25">
      <c r="A4" s="635" t="str">
        <f>'целевые показатели'!B40</f>
        <v>Основное мероприятие 2.</v>
      </c>
      <c r="B4" s="636"/>
      <c r="C4" s="637"/>
      <c r="D4" s="637"/>
    </row>
    <row r="5" spans="1:4" ht="47.25" x14ac:dyDescent="0.25">
      <c r="A5" s="635" t="str">
        <f>'целевые показатели'!B41</f>
        <v>Ремонт автомобильных дорог общего пользования местного значения и искусственных сооружений на них</v>
      </c>
      <c r="B5" s="636"/>
      <c r="C5" s="637"/>
      <c r="D5" s="637"/>
    </row>
    <row r="6" spans="1:4" x14ac:dyDescent="0.25">
      <c r="A6" s="638" t="str">
        <f>'целевые показатели'!B44</f>
        <v>ремонт моста "Тургеневский" через р.Орлик</v>
      </c>
      <c r="B6" s="636">
        <f>'целевые показатели'!I44</f>
        <v>12505.798720000001</v>
      </c>
      <c r="C6" s="637"/>
      <c r="D6" s="637"/>
    </row>
    <row r="7" spans="1:4" x14ac:dyDescent="0.25">
      <c r="A7" s="638" t="str">
        <f>'целевые показатели'!B45</f>
        <v>ул.Мостовая</v>
      </c>
      <c r="B7" s="636">
        <f>'целевые показатели'!I45</f>
        <v>38647.63392</v>
      </c>
      <c r="C7" s="817"/>
      <c r="D7" s="817"/>
    </row>
    <row r="8" spans="1:4" ht="31.5" x14ac:dyDescent="0.25">
      <c r="A8" s="638" t="str">
        <f>'целевые показатели'!B46</f>
        <v>ул.Генерала Родина на участке от ул.Мостовой до ул.Веселой</v>
      </c>
      <c r="B8" s="636">
        <f>'целевые показатели'!I46</f>
        <v>9261.9189200000001</v>
      </c>
      <c r="C8" s="818"/>
      <c r="D8" s="818"/>
    </row>
    <row r="9" spans="1:4" ht="31.5" x14ac:dyDescent="0.25">
      <c r="A9" s="638" t="str">
        <f>'целевые показатели'!B47</f>
        <v>Наугорское шоссе от ул. Лескова до ул. Скворцова (1 этап от ул.Лескова до ул.Цветаева)</v>
      </c>
      <c r="B9" s="636">
        <f>'целевые показатели'!I47</f>
        <v>11337.800439999999</v>
      </c>
      <c r="C9" s="818"/>
      <c r="D9" s="818"/>
    </row>
    <row r="10" spans="1:4" x14ac:dyDescent="0.25">
      <c r="A10" s="638" t="str">
        <f>'целевые показатели'!B48</f>
        <v>Кромской проезд</v>
      </c>
      <c r="B10" s="636">
        <f>'целевые показатели'!I48</f>
        <v>1703.5781199999999</v>
      </c>
      <c r="C10" s="637"/>
      <c r="D10" s="637"/>
    </row>
    <row r="11" spans="1:4" x14ac:dyDescent="0.25">
      <c r="A11" s="638" t="str">
        <f>'целевые показатели'!B49</f>
        <v>ул.Базовая</v>
      </c>
      <c r="B11" s="636">
        <f>'целевые показатели'!I49</f>
        <v>6061.13562</v>
      </c>
      <c r="C11" s="637"/>
      <c r="D11" s="637"/>
    </row>
    <row r="12" spans="1:4" x14ac:dyDescent="0.25">
      <c r="A12" s="638" t="str">
        <f>'целевые показатели'!B50</f>
        <v>ул.Комсомольская в районе д. 95</v>
      </c>
      <c r="B12" s="636">
        <f>'целевые показатели'!I50</f>
        <v>6500</v>
      </c>
      <c r="C12" s="637"/>
      <c r="D12" s="637"/>
    </row>
    <row r="13" spans="1:4" ht="31.5" x14ac:dyDescent="0.25">
      <c r="A13" s="638" t="str">
        <f>'целевые показатели'!B51</f>
        <v>ул.МОПРа (от ул.Комсомольская до спец.пожарно-спасательной части ФПС по Орловской области)</v>
      </c>
      <c r="B13" s="636">
        <f>'целевые показатели'!I51</f>
        <v>8709.3001899999999</v>
      </c>
      <c r="C13" s="637"/>
      <c r="D13" s="637"/>
    </row>
    <row r="14" spans="1:4" ht="31.5" x14ac:dyDescent="0.25">
      <c r="A14" s="638" t="str">
        <f>'целевые показатели'!B52</f>
        <v>ремонт Комсомольской площади в районе м-на "ГАММА" (ул. Комсомольская д.102)</v>
      </c>
      <c r="B14" s="636">
        <f>'целевые показатели'!I52</f>
        <v>8580.8336600000002</v>
      </c>
      <c r="C14" s="637"/>
      <c r="D14" s="637"/>
    </row>
    <row r="15" spans="1:4" x14ac:dyDescent="0.25">
      <c r="A15" s="638" t="str">
        <f>'целевые показатели'!B53</f>
        <v>ул.Германо</v>
      </c>
      <c r="B15" s="636">
        <f>'целевые показатели'!I53</f>
        <v>15231.91966</v>
      </c>
      <c r="C15" s="817"/>
      <c r="D15" s="817"/>
    </row>
    <row r="16" spans="1:4" x14ac:dyDescent="0.25">
      <c r="A16" s="638" t="str">
        <f>'целевые показатели'!B54</f>
        <v>ул.Березовая</v>
      </c>
      <c r="B16" s="636">
        <f>'целевые показатели'!I54</f>
        <v>13849.912850000001</v>
      </c>
      <c r="C16" s="818"/>
      <c r="D16" s="818"/>
    </row>
    <row r="17" spans="1:4" x14ac:dyDescent="0.25">
      <c r="A17" s="638" t="str">
        <f>'целевые показатели'!B55</f>
        <v>пер.Ремонтный до ул.Паровозная</v>
      </c>
      <c r="B17" s="636">
        <f>'целевые показатели'!I55</f>
        <v>10413.80616</v>
      </c>
      <c r="C17" s="818"/>
      <c r="D17" s="818"/>
    </row>
    <row r="18" spans="1:4" x14ac:dyDescent="0.25">
      <c r="A18" s="638" t="str">
        <f>'целевые показатели'!B57</f>
        <v>устройство остановочных пунктов</v>
      </c>
      <c r="B18" s="636">
        <f>'целевые показатели'!I57</f>
        <v>0</v>
      </c>
      <c r="C18" s="637"/>
      <c r="D18" s="637"/>
    </row>
    <row r="19" spans="1:4" ht="31.5" x14ac:dyDescent="0.25">
      <c r="A19" s="638" t="str">
        <f>'целевые показатели'!B75</f>
        <v>Ремонт ул.Комсомольская (элементы обустройства автомобильных дорог)</v>
      </c>
      <c r="B19" s="636">
        <f>'целевые показатели'!I75</f>
        <v>693.9</v>
      </c>
      <c r="C19" s="637"/>
      <c r="D19" s="637"/>
    </row>
    <row r="20" spans="1:4" ht="31.5" x14ac:dyDescent="0.25">
      <c r="A20" s="638" t="str">
        <f>'целевые показатели'!B76</f>
        <v>Ремонт ул. Октябрьская (элементы обустройства автомобильных дорог)</v>
      </c>
      <c r="B20" s="636">
        <f>'целевые показатели'!I76</f>
        <v>488.3</v>
      </c>
      <c r="C20" s="637"/>
      <c r="D20" s="637"/>
    </row>
    <row r="21" spans="1:4" ht="31.5" x14ac:dyDescent="0.25">
      <c r="A21" s="638" t="str">
        <f>'целевые показатели'!B77</f>
        <v>Ремонт ул. 60-летия Октября (элементы обустройства автомобильных дорог)</v>
      </c>
      <c r="B21" s="636">
        <f>'целевые показатели'!I77</f>
        <v>128.5</v>
      </c>
      <c r="C21" s="637"/>
      <c r="D21" s="637"/>
    </row>
    <row r="22" spans="1:4" ht="31.5" x14ac:dyDescent="0.25">
      <c r="A22" s="638" t="str">
        <f>'целевые показатели'!B78</f>
        <v>Ремонт ул. Герцена (элементы обустройства автомобильных дорог)</v>
      </c>
      <c r="B22" s="636">
        <f>'целевые показатели'!I78</f>
        <v>77.099999999999994</v>
      </c>
      <c r="C22" s="637"/>
      <c r="D22" s="637"/>
    </row>
    <row r="23" spans="1:4" ht="31.5" x14ac:dyDescent="0.25">
      <c r="A23" s="638" t="str">
        <f>'целевые показатели'!B79</f>
        <v>Ремонт ул. Московская (элементы обустройства автомобильных дорог)</v>
      </c>
      <c r="B23" s="636">
        <f>'целевые показатели'!I79</f>
        <v>102.8</v>
      </c>
      <c r="C23" s="637"/>
      <c r="D23" s="637"/>
    </row>
    <row r="24" spans="1:4" ht="31.5" x14ac:dyDescent="0.25">
      <c r="A24" s="638" t="str">
        <f>'целевые показатели'!B82</f>
        <v>Ремонт Московское шоссе (элементы обустройства автомобильных дорог)</v>
      </c>
      <c r="B24" s="636">
        <f>'целевые показатели'!I82</f>
        <v>411.2</v>
      </c>
      <c r="C24" s="637"/>
      <c r="D24" s="637"/>
    </row>
    <row r="25" spans="1:4" ht="31.5" x14ac:dyDescent="0.25">
      <c r="A25" s="638" t="str">
        <f>'целевые показатели'!B83</f>
        <v>Ремонт ул. 5 Августа (элементы обустройства автомобильных дорог)</v>
      </c>
      <c r="B25" s="636">
        <f>'целевые показатели'!I83</f>
        <v>77.099999999999994</v>
      </c>
      <c r="C25" s="637"/>
      <c r="D25" s="637"/>
    </row>
    <row r="26" spans="1:4" ht="31.5" x14ac:dyDescent="0.25">
      <c r="A26" s="638" t="str">
        <f>'целевые показатели'!B84</f>
        <v>Ремонт ул. Горького (элементы обустройства автомобильных дорог)</v>
      </c>
      <c r="B26" s="636">
        <f>'целевые показатели'!I84</f>
        <v>102.8</v>
      </c>
      <c r="C26" s="637"/>
      <c r="D26" s="637"/>
    </row>
    <row r="27" spans="1:4" ht="31.5" x14ac:dyDescent="0.25">
      <c r="A27" s="638" t="str">
        <f>'целевые показатели'!B85</f>
        <v>Ремонт ул. Пушкина (элементы обустройства автомобильных дорог)</v>
      </c>
      <c r="B27" s="636">
        <f>'целевые показатели'!I85</f>
        <v>77.099999999999994</v>
      </c>
      <c r="C27" s="637"/>
      <c r="D27" s="637"/>
    </row>
    <row r="28" spans="1:4" ht="31.5" x14ac:dyDescent="0.25">
      <c r="A28" s="638" t="str">
        <f>'целевые показатели'!B86</f>
        <v>Ремонт ул. Металлургов (элементы обустройства автомобильных дорог)</v>
      </c>
      <c r="B28" s="636">
        <f>'целевые показатели'!I86</f>
        <v>77.099999999999994</v>
      </c>
      <c r="C28" s="637"/>
      <c r="D28" s="637"/>
    </row>
    <row r="29" spans="1:4" ht="31.5" x14ac:dyDescent="0.25">
      <c r="A29" s="638" t="str">
        <f>'целевые показатели'!B87</f>
        <v>Ремонт ул. Лескова (элементы обустройства автомобильных дорог)</v>
      </c>
      <c r="B29" s="636">
        <f>'целевые показатели'!I87</f>
        <v>154.19999999999999</v>
      </c>
      <c r="C29" s="637"/>
      <c r="D29" s="637"/>
    </row>
    <row r="30" spans="1:4" ht="31.5" x14ac:dyDescent="0.25">
      <c r="A30" s="638" t="str">
        <f>'целевые показатели'!B88</f>
        <v>Ремонт Наугорское шоссе (элементы обустройства автомобильных дорог)</v>
      </c>
      <c r="B30" s="636">
        <f>'целевые показатели'!I88</f>
        <v>77.099999999999994</v>
      </c>
      <c r="C30" s="637"/>
      <c r="D30" s="637"/>
    </row>
    <row r="31" spans="1:4" ht="31.5" x14ac:dyDescent="0.25">
      <c r="A31" s="638" t="str">
        <f>'целевые показатели'!B89</f>
        <v>Ремонт Карачевское шоссе (элементы обустройства автомобильных дорог)</v>
      </c>
      <c r="B31" s="636">
        <f>'целевые показатели'!I89</f>
        <v>25.7</v>
      </c>
      <c r="C31" s="637"/>
      <c r="D31" s="637"/>
    </row>
    <row r="32" spans="1:4" ht="31.5" x14ac:dyDescent="0.25">
      <c r="A32" s="638" t="str">
        <f>'целевые показатели'!B90</f>
        <v>Ремонт Новосильское шоссе (элементы обустройства автомобильных дорог)</v>
      </c>
      <c r="B32" s="636">
        <f>'целевые показатели'!I90</f>
        <v>25.7</v>
      </c>
      <c r="C32" s="637"/>
      <c r="D32" s="637"/>
    </row>
    <row r="33" spans="1:4" ht="31.5" x14ac:dyDescent="0.25">
      <c r="A33" s="638" t="str">
        <f>'целевые показатели'!B91</f>
        <v>Ремонт ул. Ливенская (элементы обустройства автомобильных дорог)</v>
      </c>
      <c r="B33" s="636">
        <f>'целевые показатели'!I91</f>
        <v>51.4</v>
      </c>
      <c r="C33" s="637"/>
      <c r="D33" s="637"/>
    </row>
    <row r="34" spans="1:4" x14ac:dyDescent="0.25">
      <c r="A34" s="638" t="e">
        <f>'целевые показатели'!#REF!</f>
        <v>#REF!</v>
      </c>
      <c r="B34" s="636" t="e">
        <f>'целевые показатели'!#REF!</f>
        <v>#REF!</v>
      </c>
      <c r="C34" s="637"/>
      <c r="D34" s="637"/>
    </row>
    <row r="35" spans="1:4" ht="31.5" x14ac:dyDescent="0.25">
      <c r="A35" s="638" t="str">
        <f>'целевые показатели'!B92</f>
        <v>Ремонт ул. Паровозная (элементы обустройства автомобильных дорог)</v>
      </c>
      <c r="B35" s="636">
        <f>'целевые показатели'!I92</f>
        <v>51.4</v>
      </c>
      <c r="C35" s="637"/>
      <c r="D35" s="637"/>
    </row>
    <row r="36" spans="1:4" x14ac:dyDescent="0.25">
      <c r="A36" s="638" t="e">
        <f>'целевые показатели'!#REF!</f>
        <v>#REF!</v>
      </c>
      <c r="B36" s="636" t="e">
        <f>'целевые показатели'!#REF!</f>
        <v>#REF!</v>
      </c>
      <c r="C36" s="637"/>
      <c r="D36" s="637"/>
    </row>
    <row r="37" spans="1:4" ht="31.5" x14ac:dyDescent="0.25">
      <c r="A37" s="638" t="str">
        <f>'целевые показатели'!B93</f>
        <v>Ремонт пер.Маслозаводской (элементы обустройства автомобильных дорог)</v>
      </c>
      <c r="B37" s="636">
        <f>'целевые показатели'!I93</f>
        <v>25.7</v>
      </c>
      <c r="C37" s="637"/>
      <c r="D37" s="637"/>
    </row>
  </sheetData>
  <mergeCells count="4">
    <mergeCell ref="C7:C9"/>
    <mergeCell ref="D7:D9"/>
    <mergeCell ref="C15:C17"/>
    <mergeCell ref="D15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Y482"/>
  <sheetViews>
    <sheetView topLeftCell="A265" zoomScale="46" workbookViewId="0">
      <selection activeCell="B275" sqref="B270:B275"/>
    </sheetView>
  </sheetViews>
  <sheetFormatPr defaultColWidth="9.140625" defaultRowHeight="15.75" outlineLevelRow="3" x14ac:dyDescent="0.25"/>
  <cols>
    <col min="1" max="1" width="7.7109375" style="206" customWidth="1"/>
    <col min="2" max="2" width="65" style="207" customWidth="1"/>
    <col min="3" max="7" width="19.7109375" style="207" customWidth="1"/>
    <col min="8" max="8" width="24" style="208" customWidth="1"/>
    <col min="9" max="9" width="28.42578125" style="208" customWidth="1"/>
    <col min="10" max="10" width="18.28515625" style="207" customWidth="1"/>
    <col min="11" max="11" width="23" style="207" customWidth="1"/>
    <col min="12" max="12" width="22.28515625" style="207" customWidth="1"/>
    <col min="13" max="13" width="20.140625" style="207" bestFit="1" customWidth="1"/>
    <col min="14" max="14" width="9.140625" style="207"/>
    <col min="15" max="15" width="12.5703125" style="207" bestFit="1" customWidth="1"/>
    <col min="16" max="16384" width="9.140625" style="207"/>
  </cols>
  <sheetData>
    <row r="1" spans="1:14" x14ac:dyDescent="0.25">
      <c r="C1" s="743" t="s">
        <v>265</v>
      </c>
      <c r="D1" s="744"/>
      <c r="E1" s="744"/>
      <c r="F1" s="744"/>
      <c r="G1" s="744"/>
    </row>
    <row r="2" spans="1:14" x14ac:dyDescent="0.25">
      <c r="C2" s="743" t="s">
        <v>135</v>
      </c>
      <c r="D2" s="744"/>
      <c r="E2" s="744"/>
      <c r="F2" s="744"/>
      <c r="G2" s="744"/>
    </row>
    <row r="3" spans="1:14" x14ac:dyDescent="0.25">
      <c r="C3" s="743" t="s">
        <v>125</v>
      </c>
      <c r="D3" s="744"/>
      <c r="E3" s="744"/>
      <c r="F3" s="744"/>
      <c r="G3" s="744"/>
    </row>
    <row r="4" spans="1:14" x14ac:dyDescent="0.25">
      <c r="C4" s="743" t="s">
        <v>433</v>
      </c>
      <c r="D4" s="744"/>
      <c r="E4" s="744"/>
      <c r="F4" s="744"/>
      <c r="G4" s="744"/>
    </row>
    <row r="6" spans="1:14" ht="18.75" x14ac:dyDescent="0.25">
      <c r="A6" s="209"/>
      <c r="B6" s="210"/>
      <c r="C6" s="714" t="s">
        <v>35</v>
      </c>
      <c r="D6" s="714"/>
      <c r="E6" s="714"/>
      <c r="F6" s="714"/>
      <c r="G6" s="714"/>
    </row>
    <row r="7" spans="1:14" ht="18.75" x14ac:dyDescent="0.25">
      <c r="A7" s="209"/>
      <c r="B7" s="210"/>
      <c r="C7" s="752" t="s">
        <v>144</v>
      </c>
      <c r="D7" s="714"/>
      <c r="E7" s="714"/>
      <c r="F7" s="714"/>
      <c r="G7" s="714"/>
    </row>
    <row r="8" spans="1:14" ht="18.75" x14ac:dyDescent="0.25">
      <c r="A8" s="209"/>
      <c r="B8" s="753" t="s">
        <v>87</v>
      </c>
      <c r="C8" s="754"/>
      <c r="D8" s="754"/>
      <c r="E8" s="754"/>
      <c r="F8" s="754"/>
      <c r="G8" s="754"/>
    </row>
    <row r="9" spans="1:14" x14ac:dyDescent="0.25">
      <c r="A9" s="209"/>
      <c r="B9" s="210"/>
      <c r="C9" s="210"/>
      <c r="D9" s="210"/>
      <c r="E9" s="210"/>
      <c r="F9" s="210"/>
      <c r="G9" s="210"/>
    </row>
    <row r="10" spans="1:14" ht="21" x14ac:dyDescent="0.25">
      <c r="A10" s="211"/>
      <c r="B10" s="210"/>
      <c r="C10" s="210"/>
      <c r="D10" s="210"/>
      <c r="E10" s="210"/>
      <c r="F10" s="210"/>
      <c r="G10" s="210"/>
      <c r="K10" s="196"/>
      <c r="L10" s="212"/>
      <c r="M10" s="212"/>
      <c r="N10" s="212"/>
    </row>
    <row r="11" spans="1:14" ht="21" x14ac:dyDescent="0.25">
      <c r="A11" s="714" t="s">
        <v>36</v>
      </c>
      <c r="B11" s="714"/>
      <c r="C11" s="714"/>
      <c r="D11" s="714"/>
      <c r="E11" s="714"/>
      <c r="F11" s="714"/>
      <c r="G11" s="714"/>
      <c r="K11" s="196"/>
      <c r="L11" s="212"/>
      <c r="M11" s="212"/>
      <c r="N11" s="212"/>
    </row>
    <row r="12" spans="1:14" ht="21" x14ac:dyDescent="0.25">
      <c r="A12" s="714" t="s">
        <v>150</v>
      </c>
      <c r="B12" s="714"/>
      <c r="C12" s="714"/>
      <c r="D12" s="714"/>
      <c r="E12" s="714"/>
      <c r="F12" s="714"/>
      <c r="G12" s="714"/>
      <c r="J12" s="213"/>
      <c r="K12" s="196"/>
      <c r="L12" s="212"/>
      <c r="M12" s="212"/>
      <c r="N12" s="212"/>
    </row>
    <row r="13" spans="1:14" ht="21" x14ac:dyDescent="0.25">
      <c r="A13" s="714" t="s">
        <v>149</v>
      </c>
      <c r="B13" s="714"/>
      <c r="C13" s="714"/>
      <c r="D13" s="714"/>
      <c r="E13" s="714"/>
      <c r="F13" s="714"/>
      <c r="G13" s="714"/>
      <c r="J13" s="213"/>
      <c r="K13" s="196"/>
      <c r="L13" s="212"/>
      <c r="M13" s="212"/>
      <c r="N13" s="212"/>
    </row>
    <row r="14" spans="1:14" x14ac:dyDescent="0.25">
      <c r="A14" s="214"/>
      <c r="B14" s="210"/>
      <c r="C14" s="210"/>
      <c r="D14" s="210"/>
      <c r="E14" s="210"/>
      <c r="F14" s="210"/>
      <c r="G14" s="210"/>
    </row>
    <row r="15" spans="1:14" ht="28.5" x14ac:dyDescent="0.25">
      <c r="A15" s="759" t="s">
        <v>37</v>
      </c>
      <c r="B15" s="750" t="s">
        <v>38</v>
      </c>
      <c r="C15" s="215" t="s">
        <v>39</v>
      </c>
      <c r="D15" s="750" t="s">
        <v>40</v>
      </c>
      <c r="E15" s="750" t="s">
        <v>514</v>
      </c>
      <c r="F15" s="750" t="s">
        <v>795</v>
      </c>
      <c r="G15" s="745" t="s">
        <v>41</v>
      </c>
    </row>
    <row r="16" spans="1:14" ht="26.25" customHeight="1" x14ac:dyDescent="0.25">
      <c r="A16" s="760"/>
      <c r="B16" s="751"/>
      <c r="C16" s="216" t="s">
        <v>42</v>
      </c>
      <c r="D16" s="751"/>
      <c r="E16" s="751"/>
      <c r="F16" s="751"/>
      <c r="G16" s="746"/>
    </row>
    <row r="17" spans="1:13" x14ac:dyDescent="0.25">
      <c r="A17" s="217" t="s">
        <v>43</v>
      </c>
      <c r="B17" s="216">
        <v>2</v>
      </c>
      <c r="C17" s="216">
        <v>3</v>
      </c>
      <c r="D17" s="216">
        <v>4</v>
      </c>
      <c r="E17" s="216">
        <v>5</v>
      </c>
      <c r="F17" s="216">
        <v>6</v>
      </c>
      <c r="G17" s="218">
        <v>7</v>
      </c>
    </row>
    <row r="18" spans="1:13" ht="18" customHeight="1" outlineLevel="1" x14ac:dyDescent="0.25">
      <c r="A18" s="747" t="s">
        <v>6</v>
      </c>
      <c r="B18" s="748"/>
      <c r="C18" s="748"/>
      <c r="D18" s="748"/>
      <c r="E18" s="748"/>
      <c r="F18" s="748"/>
      <c r="G18" s="749"/>
      <c r="I18" s="208">
        <f>1027438.7</f>
        <v>1027438.7</v>
      </c>
      <c r="J18" s="207" t="s">
        <v>409</v>
      </c>
    </row>
    <row r="19" spans="1:13" outlineLevel="1" x14ac:dyDescent="0.25">
      <c r="A19" s="217">
        <v>1</v>
      </c>
      <c r="B19" s="219" t="s">
        <v>44</v>
      </c>
      <c r="C19" s="220">
        <f>SUM(C21:C31)</f>
        <v>1050538.7186246498</v>
      </c>
      <c r="D19" s="220">
        <f>SUM(D21:D31)</f>
        <v>0</v>
      </c>
      <c r="E19" s="220">
        <f>SUM(E21:E31)</f>
        <v>0</v>
      </c>
      <c r="F19" s="220">
        <f>SUM(F21:F31)</f>
        <v>1027438.6999981229</v>
      </c>
      <c r="G19" s="221">
        <f>SUM(G21:G31)</f>
        <v>23100.018626526809</v>
      </c>
    </row>
    <row r="20" spans="1:13" outlineLevel="1" x14ac:dyDescent="0.25">
      <c r="A20" s="222" t="s">
        <v>45</v>
      </c>
      <c r="B20" s="223" t="s">
        <v>168</v>
      </c>
      <c r="C20" s="224">
        <v>851316.32318794972</v>
      </c>
      <c r="D20" s="225">
        <v>0</v>
      </c>
      <c r="E20" s="225">
        <v>0</v>
      </c>
      <c r="F20" s="225">
        <v>835305.12830766989</v>
      </c>
      <c r="G20" s="226">
        <v>16011.194880279811</v>
      </c>
      <c r="J20" s="227"/>
    </row>
    <row r="21" spans="1:13" s="228" customFormat="1" ht="15.75" customHeight="1" outlineLevel="1" x14ac:dyDescent="0.25">
      <c r="A21" s="229" t="s">
        <v>172</v>
      </c>
      <c r="B21" s="230" t="s">
        <v>169</v>
      </c>
      <c r="C21" s="231">
        <v>20000</v>
      </c>
      <c r="D21" s="232">
        <v>0</v>
      </c>
      <c r="E21" s="232">
        <v>0</v>
      </c>
      <c r="F21" s="232">
        <v>19800</v>
      </c>
      <c r="G21" s="233">
        <v>200</v>
      </c>
      <c r="H21" s="234"/>
      <c r="I21" s="234"/>
    </row>
    <row r="22" spans="1:13" s="228" customFormat="1" ht="31.5" outlineLevel="1" x14ac:dyDescent="0.25">
      <c r="A22" s="229" t="s">
        <v>173</v>
      </c>
      <c r="B22" s="230" t="s">
        <v>178</v>
      </c>
      <c r="C22" s="231">
        <v>100873.39939999999</v>
      </c>
      <c r="D22" s="232">
        <v>0</v>
      </c>
      <c r="E22" s="232">
        <v>0</v>
      </c>
      <c r="F22" s="232">
        <v>99864.665406</v>
      </c>
      <c r="G22" s="233">
        <v>1008.7339939999947</v>
      </c>
      <c r="H22" s="234"/>
      <c r="I22" s="234"/>
      <c r="J22" s="235"/>
    </row>
    <row r="23" spans="1:13" s="228" customFormat="1" ht="31.5" outlineLevel="1" x14ac:dyDescent="0.25">
      <c r="A23" s="229" t="s">
        <v>174</v>
      </c>
      <c r="B23" s="230" t="s">
        <v>170</v>
      </c>
      <c r="C23" s="231">
        <v>4025.17166</v>
      </c>
      <c r="D23" s="232">
        <v>0</v>
      </c>
      <c r="E23" s="232">
        <v>0</v>
      </c>
      <c r="F23" s="232">
        <v>3984.9199433999997</v>
      </c>
      <c r="G23" s="233">
        <v>40.251716600000236</v>
      </c>
      <c r="H23" s="234"/>
      <c r="I23" s="234"/>
      <c r="J23" s="235"/>
      <c r="K23" s="235"/>
    </row>
    <row r="24" spans="1:13" s="228" customFormat="1" ht="47.25" outlineLevel="1" x14ac:dyDescent="0.25">
      <c r="A24" s="229" t="s">
        <v>175</v>
      </c>
      <c r="B24" s="236" t="s">
        <v>652</v>
      </c>
      <c r="C24" s="231">
        <v>141.96841000000001</v>
      </c>
      <c r="D24" s="232">
        <v>0</v>
      </c>
      <c r="E24" s="232">
        <v>0</v>
      </c>
      <c r="F24" s="232">
        <v>0</v>
      </c>
      <c r="G24" s="237">
        <v>141.96841000000001</v>
      </c>
      <c r="H24" s="234"/>
      <c r="I24" s="234"/>
      <c r="J24" s="235">
        <f>(J27/1000)-J27-J25</f>
        <v>-40702949.219999999</v>
      </c>
      <c r="K24" s="235" t="s">
        <v>407</v>
      </c>
    </row>
    <row r="25" spans="1:13" s="228" customFormat="1" ht="15.75" customHeight="1" outlineLevel="1" x14ac:dyDescent="0.25">
      <c r="A25" s="229" t="s">
        <v>389</v>
      </c>
      <c r="B25" s="230" t="s">
        <v>171</v>
      </c>
      <c r="C25" s="231">
        <v>726275.78371794976</v>
      </c>
      <c r="D25" s="232">
        <v>0</v>
      </c>
      <c r="E25" s="232">
        <v>0</v>
      </c>
      <c r="F25" s="232">
        <v>711655.54295826994</v>
      </c>
      <c r="G25" s="233">
        <v>14620.240759679815</v>
      </c>
      <c r="H25" s="238"/>
      <c r="I25" s="238"/>
      <c r="J25" s="239">
        <f>5807.1</f>
        <v>5807.1</v>
      </c>
      <c r="K25" s="235"/>
    </row>
    <row r="26" spans="1:13" outlineLevel="1" x14ac:dyDescent="0.25">
      <c r="A26" s="222" t="s">
        <v>46</v>
      </c>
      <c r="B26" s="223" t="s">
        <v>177</v>
      </c>
      <c r="C26" s="224">
        <v>42266.778424700002</v>
      </c>
      <c r="D26" s="225">
        <v>0</v>
      </c>
      <c r="E26" s="225">
        <v>0</v>
      </c>
      <c r="F26" s="225">
        <v>41844.110640453</v>
      </c>
      <c r="G26" s="226">
        <v>422.66778424700169</v>
      </c>
      <c r="H26" s="238"/>
      <c r="J26" s="227">
        <v>31981.78</v>
      </c>
    </row>
    <row r="27" spans="1:13" ht="16.5" outlineLevel="1" x14ac:dyDescent="0.25">
      <c r="A27" s="222" t="s">
        <v>47</v>
      </c>
      <c r="B27" s="240" t="s">
        <v>185</v>
      </c>
      <c r="C27" s="224">
        <v>116193.90360000001</v>
      </c>
      <c r="D27" s="225">
        <v>0</v>
      </c>
      <c r="E27" s="225">
        <v>0</v>
      </c>
      <c r="F27" s="225">
        <v>115031.96456400001</v>
      </c>
      <c r="G27" s="226">
        <v>1161.9390359999961</v>
      </c>
      <c r="H27" s="238"/>
      <c r="I27" s="208">
        <f>H27*0.99</f>
        <v>0</v>
      </c>
      <c r="J27" s="241">
        <v>40737880</v>
      </c>
      <c r="K27" s="242" t="s">
        <v>385</v>
      </c>
    </row>
    <row r="28" spans="1:13" ht="47.25" outlineLevel="1" x14ac:dyDescent="0.25">
      <c r="A28" s="222" t="s">
        <v>48</v>
      </c>
      <c r="B28" s="243" t="s">
        <v>176</v>
      </c>
      <c r="C28" s="224">
        <v>16412.286012</v>
      </c>
      <c r="D28" s="225">
        <v>0</v>
      </c>
      <c r="E28" s="225">
        <v>0</v>
      </c>
      <c r="F28" s="244">
        <v>16046.2184</v>
      </c>
      <c r="G28" s="226">
        <v>366.06761200000074</v>
      </c>
      <c r="H28" s="238"/>
      <c r="I28" s="245"/>
      <c r="J28" s="246">
        <v>8278.7726999999995</v>
      </c>
      <c r="K28" s="12"/>
    </row>
    <row r="29" spans="1:13" ht="31.5" outlineLevel="1" x14ac:dyDescent="0.25">
      <c r="A29" s="222" t="s">
        <v>49</v>
      </c>
      <c r="B29" s="247" t="s">
        <v>25</v>
      </c>
      <c r="C29" s="224">
        <v>9090.9090899999992</v>
      </c>
      <c r="D29" s="225">
        <v>0</v>
      </c>
      <c r="E29" s="225">
        <v>0</v>
      </c>
      <c r="F29" s="225">
        <v>8999.9999990999986</v>
      </c>
      <c r="G29" s="226">
        <v>90.909090900000592</v>
      </c>
      <c r="H29" s="238"/>
      <c r="I29" s="248"/>
      <c r="J29" s="249">
        <f>K33-J32</f>
        <v>4.7000357881188393E-6</v>
      </c>
      <c r="K29" s="757" t="s">
        <v>388</v>
      </c>
      <c r="L29" s="758"/>
    </row>
    <row r="30" spans="1:13" ht="16.5" outlineLevel="1" x14ac:dyDescent="0.25">
      <c r="A30" s="222" t="s">
        <v>189</v>
      </c>
      <c r="B30" s="250" t="s">
        <v>154</v>
      </c>
      <c r="C30" s="224">
        <v>4944.0959999999995</v>
      </c>
      <c r="D30" s="225">
        <v>0</v>
      </c>
      <c r="E30" s="225">
        <v>0</v>
      </c>
      <c r="F30" s="225">
        <v>0</v>
      </c>
      <c r="G30" s="226">
        <v>4944.0959999999995</v>
      </c>
      <c r="J30" s="12">
        <f>J29/0.95</f>
        <v>4.9474060927566731E-6</v>
      </c>
      <c r="K30" s="12"/>
    </row>
    <row r="31" spans="1:13" ht="16.5" outlineLevel="1" x14ac:dyDescent="0.25">
      <c r="A31" s="222" t="s">
        <v>189</v>
      </c>
      <c r="B31" s="251" t="s">
        <v>73</v>
      </c>
      <c r="C31" s="224">
        <v>10314.42231</v>
      </c>
      <c r="D31" s="225">
        <v>0</v>
      </c>
      <c r="E31" s="225">
        <v>0</v>
      </c>
      <c r="F31" s="225">
        <v>10211.2780869</v>
      </c>
      <c r="G31" s="226">
        <v>103.14422310000009</v>
      </c>
      <c r="I31" s="252"/>
      <c r="J31" s="249"/>
      <c r="K31" s="253"/>
      <c r="M31" s="249"/>
    </row>
    <row r="32" spans="1:13" ht="31.5" outlineLevel="1" x14ac:dyDescent="0.25">
      <c r="A32" s="217" t="s">
        <v>50</v>
      </c>
      <c r="B32" s="219" t="s">
        <v>15</v>
      </c>
      <c r="C32" s="220">
        <f>SUM(C33:C81)</f>
        <v>226895.60840999999</v>
      </c>
      <c r="D32" s="220">
        <f>SUM(D33:D80)</f>
        <v>0</v>
      </c>
      <c r="E32" s="220">
        <f>SUM(E33:E80)</f>
        <v>0</v>
      </c>
      <c r="F32" s="220">
        <f>SUM(F33:F81)</f>
        <v>215554.46233860002</v>
      </c>
      <c r="G32" s="221">
        <f>SUM(G33:G81)</f>
        <v>11341.146071400002</v>
      </c>
      <c r="H32" s="208">
        <f>'целевые показатели'!I41</f>
        <v>226895.60840999999</v>
      </c>
      <c r="I32" s="252" t="s">
        <v>387</v>
      </c>
      <c r="J32" s="254">
        <f>F32+F128</f>
        <v>342034.51999529998</v>
      </c>
      <c r="K32" s="253"/>
      <c r="L32" s="253"/>
      <c r="M32" s="253"/>
    </row>
    <row r="33" spans="1:15" ht="16.5" outlineLevel="1" x14ac:dyDescent="0.25">
      <c r="A33" s="255" t="s">
        <v>57</v>
      </c>
      <c r="B33" s="251" t="str">
        <f>'целевые показатели'!B44</f>
        <v>ремонт моста "Тургеневский" через р.Орлик</v>
      </c>
      <c r="C33" s="224">
        <v>12505.798720000001</v>
      </c>
      <c r="D33" s="225">
        <v>0</v>
      </c>
      <c r="E33" s="225">
        <v>0</v>
      </c>
      <c r="F33" s="225">
        <v>12380.740732800001</v>
      </c>
      <c r="G33" s="226">
        <v>125.05798719999984</v>
      </c>
      <c r="J33" s="206" t="s">
        <v>268</v>
      </c>
      <c r="K33" s="256">
        <f>382772.4-40737.88</f>
        <v>342034.52</v>
      </c>
      <c r="L33" s="12" t="s">
        <v>386</v>
      </c>
      <c r="M33" s="253"/>
      <c r="O33" s="254"/>
    </row>
    <row r="34" spans="1:15" ht="16.5" outlineLevel="1" x14ac:dyDescent="0.25">
      <c r="A34" s="255" t="s">
        <v>58</v>
      </c>
      <c r="B34" s="251" t="s">
        <v>151</v>
      </c>
      <c r="C34" s="224">
        <v>38647.63392</v>
      </c>
      <c r="D34" s="225">
        <v>0</v>
      </c>
      <c r="E34" s="225">
        <v>0</v>
      </c>
      <c r="F34" s="225">
        <v>38261.157580799998</v>
      </c>
      <c r="G34" s="226">
        <v>386.47633920000226</v>
      </c>
      <c r="J34" s="257"/>
      <c r="K34" s="258">
        <f>K33+J27/1000</f>
        <v>382772.4</v>
      </c>
    </row>
    <row r="35" spans="1:15" ht="19.5" customHeight="1" outlineLevel="1" x14ac:dyDescent="0.25">
      <c r="A35" s="255" t="s">
        <v>59</v>
      </c>
      <c r="B35" s="251" t="s">
        <v>152</v>
      </c>
      <c r="C35" s="224">
        <v>9261.9189200000001</v>
      </c>
      <c r="D35" s="225">
        <v>0</v>
      </c>
      <c r="E35" s="225">
        <v>0</v>
      </c>
      <c r="F35" s="225">
        <v>9169.2997307999995</v>
      </c>
      <c r="G35" s="226">
        <v>92.619189200000619</v>
      </c>
      <c r="J35" s="257"/>
      <c r="K35" s="254"/>
      <c r="L35" s="254"/>
      <c r="M35" s="254"/>
    </row>
    <row r="36" spans="1:15" s="259" customFormat="1" ht="33" outlineLevel="1" x14ac:dyDescent="0.25">
      <c r="A36" s="255" t="s">
        <v>60</v>
      </c>
      <c r="B36" s="251" t="s">
        <v>269</v>
      </c>
      <c r="C36" s="224">
        <v>11337.800439999992</v>
      </c>
      <c r="D36" s="260">
        <v>0</v>
      </c>
      <c r="E36" s="260">
        <v>0</v>
      </c>
      <c r="F36" s="260">
        <v>11224.422435599992</v>
      </c>
      <c r="G36" s="261">
        <v>113.37800439999955</v>
      </c>
      <c r="H36" s="262"/>
      <c r="I36" s="262"/>
      <c r="J36" s="263"/>
      <c r="K36" s="263"/>
      <c r="L36" s="263"/>
    </row>
    <row r="37" spans="1:15" ht="16.5" outlineLevel="1" x14ac:dyDescent="0.25">
      <c r="A37" s="255" t="s">
        <v>61</v>
      </c>
      <c r="B37" s="251" t="str">
        <f>'целевые показатели'!B48</f>
        <v>Кромской проезд</v>
      </c>
      <c r="C37" s="224">
        <v>1703.5781199999999</v>
      </c>
      <c r="D37" s="225">
        <v>0</v>
      </c>
      <c r="E37" s="225">
        <v>0</v>
      </c>
      <c r="F37" s="225">
        <v>1686.5423387999999</v>
      </c>
      <c r="G37" s="226">
        <v>17.035781199999974</v>
      </c>
      <c r="J37" s="12"/>
      <c r="K37" s="12"/>
    </row>
    <row r="38" spans="1:15" ht="16.5" outlineLevel="1" x14ac:dyDescent="0.25">
      <c r="A38" s="255">
        <v>45475</v>
      </c>
      <c r="B38" s="251" t="str">
        <f>'целевые показатели'!B49</f>
        <v>ул.Базовая</v>
      </c>
      <c r="C38" s="264">
        <v>6061.13562</v>
      </c>
      <c r="D38" s="225">
        <v>0</v>
      </c>
      <c r="E38" s="225">
        <v>0</v>
      </c>
      <c r="F38" s="225">
        <v>6000.5242638</v>
      </c>
      <c r="G38" s="226">
        <v>60.611356200000046</v>
      </c>
      <c r="J38" s="12"/>
      <c r="K38" s="12"/>
    </row>
    <row r="39" spans="1:15" s="265" customFormat="1" ht="16.5" outlineLevel="1" x14ac:dyDescent="0.25">
      <c r="A39" s="255" t="s">
        <v>62</v>
      </c>
      <c r="B39" s="251" t="str">
        <f>'целевые показатели'!B50</f>
        <v>ул.Комсомольская в районе д. 95</v>
      </c>
      <c r="C39" s="264">
        <v>6500</v>
      </c>
      <c r="D39" s="225">
        <v>0</v>
      </c>
      <c r="E39" s="225">
        <v>0</v>
      </c>
      <c r="F39" s="225">
        <v>6435</v>
      </c>
      <c r="G39" s="226">
        <v>65</v>
      </c>
      <c r="H39" s="208"/>
      <c r="I39" s="208"/>
      <c r="J39" s="266"/>
      <c r="K39" s="267"/>
    </row>
    <row r="40" spans="1:15" ht="33" outlineLevel="1" x14ac:dyDescent="0.25">
      <c r="A40" s="255" t="s">
        <v>63</v>
      </c>
      <c r="B40" s="251" t="str">
        <f>'целевые показатели'!B51</f>
        <v>ул.МОПРа (от ул.Комсомольская до спец.пожарно-спасательной части ФПС по Орловской области)</v>
      </c>
      <c r="C40" s="224">
        <v>8709.3001899999999</v>
      </c>
      <c r="D40" s="225">
        <v>0</v>
      </c>
      <c r="E40" s="225">
        <v>0</v>
      </c>
      <c r="F40" s="225">
        <v>8622.2071880999993</v>
      </c>
      <c r="G40" s="226">
        <v>87.093001900000672</v>
      </c>
      <c r="J40" s="266"/>
      <c r="K40" s="268"/>
      <c r="L40" s="208"/>
      <c r="M40" s="208"/>
      <c r="N40" s="208"/>
      <c r="O40" s="208"/>
    </row>
    <row r="41" spans="1:15" ht="33" outlineLevel="1" x14ac:dyDescent="0.25">
      <c r="A41" s="255" t="s">
        <v>64</v>
      </c>
      <c r="B41" s="251" t="str">
        <f>'целевые показатели'!B52</f>
        <v>ремонт Комсомольской площади в районе м-на "ГАММА" (ул. Комсомольская д.102)</v>
      </c>
      <c r="C41" s="224">
        <v>8580.8336600000002</v>
      </c>
      <c r="D41" s="225">
        <v>0</v>
      </c>
      <c r="E41" s="225">
        <v>0</v>
      </c>
      <c r="F41" s="225">
        <v>8495.0253233999993</v>
      </c>
      <c r="G41" s="226">
        <v>85.808336600000985</v>
      </c>
      <c r="J41" s="208"/>
      <c r="K41" s="208"/>
      <c r="L41" s="208"/>
      <c r="M41" s="208"/>
      <c r="N41" s="208"/>
      <c r="O41" s="208"/>
    </row>
    <row r="42" spans="1:15" ht="16.5" outlineLevel="1" x14ac:dyDescent="0.25">
      <c r="A42" s="255" t="s">
        <v>65</v>
      </c>
      <c r="B42" s="251" t="str">
        <f>'целевые показатели'!B53</f>
        <v>ул.Германо</v>
      </c>
      <c r="C42" s="224">
        <v>15231.91966</v>
      </c>
      <c r="D42" s="225">
        <v>0</v>
      </c>
      <c r="E42" s="225">
        <v>0</v>
      </c>
      <c r="F42" s="225">
        <v>15079.6004634</v>
      </c>
      <c r="G42" s="226">
        <v>152.31919659999949</v>
      </c>
      <c r="J42" s="208"/>
      <c r="K42" s="208"/>
      <c r="L42" s="208"/>
      <c r="M42" s="208"/>
      <c r="N42" s="208"/>
      <c r="O42" s="208"/>
    </row>
    <row r="43" spans="1:15" ht="16.5" outlineLevel="1" x14ac:dyDescent="0.25">
      <c r="A43" s="255" t="s">
        <v>66</v>
      </c>
      <c r="B43" s="251" t="str">
        <f>'целевые показатели'!B54</f>
        <v>ул.Березовая</v>
      </c>
      <c r="C43" s="224">
        <v>13849.912850000001</v>
      </c>
      <c r="D43" s="225">
        <v>0</v>
      </c>
      <c r="E43" s="225">
        <v>0</v>
      </c>
      <c r="F43" s="225">
        <v>13711.413721500001</v>
      </c>
      <c r="G43" s="226">
        <v>138.49912849999964</v>
      </c>
      <c r="J43" s="208"/>
      <c r="K43" s="208"/>
      <c r="L43" s="208"/>
      <c r="M43" s="208"/>
      <c r="N43" s="208"/>
      <c r="O43" s="208"/>
    </row>
    <row r="44" spans="1:15" ht="16.5" outlineLevel="1" x14ac:dyDescent="0.25">
      <c r="A44" s="255" t="s">
        <v>67</v>
      </c>
      <c r="B44" s="251" t="str">
        <f>'целевые показатели'!B55</f>
        <v>пер.Ремонтный до ул.Паровозная</v>
      </c>
      <c r="C44" s="224">
        <v>10413.80616</v>
      </c>
      <c r="D44" s="225">
        <v>0</v>
      </c>
      <c r="E44" s="225">
        <v>0</v>
      </c>
      <c r="F44" s="225">
        <v>10309.6680984</v>
      </c>
      <c r="G44" s="226">
        <v>104.13806160000058</v>
      </c>
      <c r="J44" s="208"/>
      <c r="K44" s="208"/>
      <c r="L44" s="208"/>
      <c r="M44" s="208"/>
      <c r="N44" s="208"/>
      <c r="O44" s="208"/>
    </row>
    <row r="45" spans="1:15" s="242" customFormat="1" ht="120.75" customHeight="1" outlineLevel="1" x14ac:dyDescent="0.25">
      <c r="A45" s="255" t="s">
        <v>202</v>
      </c>
      <c r="B45" s="250" t="s">
        <v>411</v>
      </c>
      <c r="C45" s="224">
        <v>4069.5383900000002</v>
      </c>
      <c r="D45" s="244">
        <v>0</v>
      </c>
      <c r="E45" s="244">
        <v>0</v>
      </c>
      <c r="F45" s="244">
        <v>0</v>
      </c>
      <c r="G45" s="269">
        <v>4069.5383900000002</v>
      </c>
      <c r="H45" s="270" t="s">
        <v>158</v>
      </c>
      <c r="I45" s="270"/>
      <c r="J45" s="270"/>
      <c r="K45" s="208"/>
      <c r="L45" s="270"/>
      <c r="M45" s="270"/>
      <c r="N45" s="270"/>
      <c r="O45" s="270"/>
    </row>
    <row r="46" spans="1:15" s="242" customFormat="1" ht="33" hidden="1" outlineLevel="2" x14ac:dyDescent="0.25">
      <c r="A46" s="255"/>
      <c r="B46" s="271" t="str">
        <f>'целевые показатели'!B75</f>
        <v>Ремонт ул.Комсомольская (элементы обустройства автомобильных дорог)</v>
      </c>
      <c r="C46" s="224">
        <v>0</v>
      </c>
      <c r="D46" s="225">
        <v>0</v>
      </c>
      <c r="E46" s="225">
        <v>0</v>
      </c>
      <c r="F46" s="225">
        <v>0</v>
      </c>
      <c r="G46" s="226">
        <v>0</v>
      </c>
      <c r="H46" s="270"/>
      <c r="I46" s="270"/>
      <c r="J46" s="270"/>
      <c r="K46" s="208"/>
      <c r="L46" s="270"/>
      <c r="M46" s="270"/>
      <c r="N46" s="270"/>
      <c r="O46" s="270"/>
    </row>
    <row r="47" spans="1:15" s="242" customFormat="1" ht="33" outlineLevel="1" collapsed="1" x14ac:dyDescent="0.25">
      <c r="A47" s="255" t="s">
        <v>400</v>
      </c>
      <c r="B47" s="271" t="str">
        <f>'целевые показатели'!B75</f>
        <v>Ремонт ул.Комсомольская (элементы обустройства автомобильных дорог)</v>
      </c>
      <c r="C47" s="224">
        <v>693.9</v>
      </c>
      <c r="D47" s="225">
        <v>0</v>
      </c>
      <c r="E47" s="225">
        <v>0</v>
      </c>
      <c r="F47" s="225">
        <v>686.96100000000001</v>
      </c>
      <c r="G47" s="226">
        <v>6.9389999999999645</v>
      </c>
      <c r="H47" s="270"/>
      <c r="I47" s="270"/>
      <c r="J47" s="270"/>
      <c r="K47" s="208"/>
      <c r="L47" s="270"/>
      <c r="M47" s="270"/>
      <c r="N47" s="270"/>
      <c r="O47" s="270"/>
    </row>
    <row r="48" spans="1:15" s="242" customFormat="1" ht="33" outlineLevel="1" x14ac:dyDescent="0.25">
      <c r="A48" s="255" t="s">
        <v>203</v>
      </c>
      <c r="B48" s="271" t="str">
        <f>'целевые показатели'!B76</f>
        <v>Ремонт ул. Октябрьская (элементы обустройства автомобильных дорог)</v>
      </c>
      <c r="C48" s="224">
        <v>488.3</v>
      </c>
      <c r="D48" s="225">
        <v>0</v>
      </c>
      <c r="E48" s="225">
        <v>0</v>
      </c>
      <c r="F48" s="225">
        <v>483.41700000000003</v>
      </c>
      <c r="G48" s="226">
        <v>4.8829999999999814</v>
      </c>
      <c r="H48" s="270"/>
      <c r="I48" s="270"/>
      <c r="J48" s="270"/>
      <c r="K48" s="208"/>
      <c r="L48" s="270"/>
      <c r="M48" s="270"/>
      <c r="N48" s="270"/>
      <c r="O48" s="270"/>
    </row>
    <row r="49" spans="1:15" s="242" customFormat="1" ht="33" outlineLevel="1" x14ac:dyDescent="0.25">
      <c r="A49" s="255" t="s">
        <v>204</v>
      </c>
      <c r="B49" s="271" t="str">
        <f>'целевые показатели'!B77</f>
        <v>Ремонт ул. 60-летия Октября (элементы обустройства автомобильных дорог)</v>
      </c>
      <c r="C49" s="224">
        <v>128.5</v>
      </c>
      <c r="D49" s="225">
        <v>0</v>
      </c>
      <c r="E49" s="225">
        <v>0</v>
      </c>
      <c r="F49" s="225">
        <v>127.215</v>
      </c>
      <c r="G49" s="226">
        <v>1.2849999999999966</v>
      </c>
      <c r="H49" s="270"/>
      <c r="I49" s="270"/>
      <c r="J49" s="270"/>
      <c r="K49" s="208"/>
      <c r="L49" s="270"/>
      <c r="M49" s="270"/>
      <c r="N49" s="270"/>
      <c r="O49" s="270"/>
    </row>
    <row r="50" spans="1:15" s="242" customFormat="1" ht="33" outlineLevel="1" x14ac:dyDescent="0.25">
      <c r="A50" s="255" t="s">
        <v>212</v>
      </c>
      <c r="B50" s="271" t="str">
        <f>'целевые показатели'!B88</f>
        <v>Ремонт Наугорское шоссе (элементы обустройства автомобильных дорог)</v>
      </c>
      <c r="C50" s="272">
        <v>77.099999999999994</v>
      </c>
      <c r="D50" s="244">
        <v>0</v>
      </c>
      <c r="E50" s="225">
        <v>0</v>
      </c>
      <c r="F50" s="244">
        <v>76.328999999999994</v>
      </c>
      <c r="G50" s="269">
        <v>0.7710000000000008</v>
      </c>
      <c r="H50" s="270"/>
      <c r="I50" s="270"/>
      <c r="J50" s="270"/>
      <c r="K50" s="208"/>
      <c r="L50" s="270"/>
      <c r="M50" s="270"/>
      <c r="N50" s="270"/>
      <c r="O50" s="270"/>
    </row>
    <row r="51" spans="1:15" s="242" customFormat="1" ht="33" outlineLevel="1" x14ac:dyDescent="0.25">
      <c r="A51" s="255" t="s">
        <v>213</v>
      </c>
      <c r="B51" s="271" t="str">
        <f>'целевые показатели'!B89</f>
        <v>Ремонт Карачевское шоссе (элементы обустройства автомобильных дорог)</v>
      </c>
      <c r="C51" s="272">
        <v>102.8</v>
      </c>
      <c r="D51" s="244">
        <v>0</v>
      </c>
      <c r="E51" s="225">
        <v>0</v>
      </c>
      <c r="F51" s="244">
        <v>101.77199999999999</v>
      </c>
      <c r="G51" s="269">
        <v>1.0280000000000058</v>
      </c>
      <c r="H51" s="270"/>
      <c r="I51" s="270"/>
      <c r="J51" s="270"/>
      <c r="K51" s="208"/>
      <c r="L51" s="270"/>
      <c r="M51" s="270"/>
      <c r="N51" s="270"/>
      <c r="O51" s="270"/>
    </row>
    <row r="52" spans="1:15" s="242" customFormat="1" ht="33" outlineLevel="1" x14ac:dyDescent="0.25">
      <c r="A52" s="255" t="s">
        <v>214</v>
      </c>
      <c r="B52" s="271" t="str">
        <f>'целевые показатели'!B92</f>
        <v>Ремонт ул. Паровозная (элементы обустройства автомобильных дорог)</v>
      </c>
      <c r="C52" s="272">
        <v>411.2</v>
      </c>
      <c r="D52" s="244">
        <v>0</v>
      </c>
      <c r="E52" s="225">
        <v>0</v>
      </c>
      <c r="F52" s="244">
        <v>407.08799999999997</v>
      </c>
      <c r="G52" s="269">
        <v>4.1120000000000232</v>
      </c>
      <c r="H52" s="270"/>
      <c r="I52" s="270"/>
      <c r="J52" s="270"/>
      <c r="K52" s="270"/>
      <c r="L52" s="270"/>
      <c r="M52" s="270"/>
      <c r="N52" s="270"/>
      <c r="O52" s="270"/>
    </row>
    <row r="53" spans="1:15" s="242" customFormat="1" ht="33" outlineLevel="1" x14ac:dyDescent="0.25">
      <c r="A53" s="255" t="s">
        <v>346</v>
      </c>
      <c r="B53" s="271" t="str">
        <f>'целевые показатели'!B93</f>
        <v>Ремонт пер.Маслозаводской (элементы обустройства автомобильных дорог)</v>
      </c>
      <c r="C53" s="272">
        <v>77.099999999999994</v>
      </c>
      <c r="D53" s="244">
        <v>0</v>
      </c>
      <c r="E53" s="225">
        <v>0</v>
      </c>
      <c r="F53" s="244">
        <v>76.328999999999994</v>
      </c>
      <c r="G53" s="269">
        <v>0.7710000000000008</v>
      </c>
      <c r="H53" s="270"/>
      <c r="I53" s="270"/>
      <c r="J53" s="270"/>
      <c r="K53" s="270"/>
      <c r="L53" s="270"/>
      <c r="M53" s="270"/>
      <c r="N53" s="270"/>
      <c r="O53" s="270"/>
    </row>
    <row r="54" spans="1:15" s="242" customFormat="1" ht="33" outlineLevel="1" x14ac:dyDescent="0.25">
      <c r="A54" s="255" t="s">
        <v>347</v>
      </c>
      <c r="B54" s="271" t="str">
        <f>'целевые показатели'!B95</f>
        <v>Ремонт ул.Грузовая (элементы обустройства автомобильных дорог)</v>
      </c>
      <c r="C54" s="272">
        <v>102.8</v>
      </c>
      <c r="D54" s="244">
        <v>0</v>
      </c>
      <c r="E54" s="225">
        <v>0</v>
      </c>
      <c r="F54" s="244">
        <v>101.77199999999999</v>
      </c>
      <c r="G54" s="269">
        <v>1.0280000000000058</v>
      </c>
      <c r="H54" s="270"/>
      <c r="I54" s="270"/>
      <c r="J54" s="270"/>
      <c r="K54" s="270"/>
      <c r="L54" s="270"/>
      <c r="M54" s="270"/>
      <c r="N54" s="270"/>
      <c r="O54" s="270"/>
    </row>
    <row r="55" spans="1:15" s="242" customFormat="1" ht="33" outlineLevel="1" x14ac:dyDescent="0.25">
      <c r="A55" s="255" t="s">
        <v>348</v>
      </c>
      <c r="B55" s="271" t="str">
        <f>'целевые показатели'!B95</f>
        <v>Ремонт ул.Грузовая (элементы обустройства автомобильных дорог)</v>
      </c>
      <c r="C55" s="272">
        <v>77.099999999999994</v>
      </c>
      <c r="D55" s="244">
        <v>0</v>
      </c>
      <c r="E55" s="225">
        <v>0</v>
      </c>
      <c r="F55" s="244">
        <v>76.328999999999994</v>
      </c>
      <c r="G55" s="269">
        <v>0.7710000000000008</v>
      </c>
      <c r="H55" s="270"/>
      <c r="I55" s="270"/>
      <c r="J55" s="270"/>
      <c r="K55" s="270"/>
      <c r="L55" s="270"/>
      <c r="M55" s="270"/>
      <c r="N55" s="270"/>
      <c r="O55" s="270"/>
    </row>
    <row r="56" spans="1:15" s="242" customFormat="1" ht="33" outlineLevel="1" x14ac:dyDescent="0.25">
      <c r="A56" s="255" t="s">
        <v>349</v>
      </c>
      <c r="B56" s="271" t="str">
        <f>'целевые показатели'!B96</f>
        <v>Ремонт ул.Р.Люксембург (элементы обустройства автомобильных дорог)</v>
      </c>
      <c r="C56" s="272">
        <v>77.099999999999994</v>
      </c>
      <c r="D56" s="244">
        <v>0</v>
      </c>
      <c r="E56" s="225">
        <v>0</v>
      </c>
      <c r="F56" s="244">
        <v>76.328999999999994</v>
      </c>
      <c r="G56" s="269">
        <v>0.7710000000000008</v>
      </c>
      <c r="H56" s="270"/>
      <c r="I56" s="270"/>
      <c r="J56" s="270"/>
      <c r="K56" s="270"/>
      <c r="L56" s="270"/>
      <c r="M56" s="270"/>
      <c r="N56" s="270"/>
      <c r="O56" s="270"/>
    </row>
    <row r="57" spans="1:15" s="242" customFormat="1" ht="33" outlineLevel="1" x14ac:dyDescent="0.25">
      <c r="A57" s="255" t="s">
        <v>350</v>
      </c>
      <c r="B57" s="271" t="str">
        <f>'целевые показатели'!B97</f>
        <v>Ремонт ул.МОПРа  (элементы обустройства автомобильных дорог)</v>
      </c>
      <c r="C57" s="272">
        <v>154.19999999999999</v>
      </c>
      <c r="D57" s="244">
        <v>0</v>
      </c>
      <c r="E57" s="225">
        <v>0</v>
      </c>
      <c r="F57" s="244">
        <v>152.65799999999999</v>
      </c>
      <c r="G57" s="269">
        <v>1.5420000000000016</v>
      </c>
      <c r="H57" s="270"/>
      <c r="I57" s="270"/>
      <c r="J57" s="270"/>
      <c r="K57" s="270"/>
      <c r="L57" s="270"/>
      <c r="M57" s="270"/>
      <c r="N57" s="270"/>
      <c r="O57" s="270"/>
    </row>
    <row r="58" spans="1:15" s="242" customFormat="1" ht="33" outlineLevel="1" x14ac:dyDescent="0.25">
      <c r="A58" s="255" t="s">
        <v>351</v>
      </c>
      <c r="B58" s="271" t="str">
        <f>'целевые показатели'!B88</f>
        <v>Ремонт Наугорское шоссе (элементы обустройства автомобильных дорог)</v>
      </c>
      <c r="C58" s="272">
        <v>77.099999999999994</v>
      </c>
      <c r="D58" s="244">
        <v>0</v>
      </c>
      <c r="E58" s="225">
        <v>0</v>
      </c>
      <c r="F58" s="244">
        <v>76.328999999999994</v>
      </c>
      <c r="G58" s="269">
        <v>0.7710000000000008</v>
      </c>
      <c r="H58" s="270"/>
      <c r="I58" s="270"/>
      <c r="J58" s="270"/>
      <c r="K58" s="270"/>
      <c r="L58" s="270"/>
      <c r="M58" s="270"/>
      <c r="N58" s="270"/>
      <c r="O58" s="270"/>
    </row>
    <row r="59" spans="1:15" s="242" customFormat="1" ht="33" outlineLevel="1" x14ac:dyDescent="0.25">
      <c r="A59" s="255" t="s">
        <v>352</v>
      </c>
      <c r="B59" s="271" t="str">
        <f>'целевые показатели'!B89</f>
        <v>Ремонт Карачевское шоссе (элементы обустройства автомобильных дорог)</v>
      </c>
      <c r="C59" s="272">
        <v>25.7</v>
      </c>
      <c r="D59" s="244">
        <v>0</v>
      </c>
      <c r="E59" s="225">
        <v>0</v>
      </c>
      <c r="F59" s="244">
        <v>25.442999999999998</v>
      </c>
      <c r="G59" s="269">
        <v>0.25700000000000145</v>
      </c>
      <c r="H59" s="270"/>
      <c r="I59" s="270"/>
      <c r="J59" s="270"/>
      <c r="K59" s="270"/>
      <c r="L59" s="270"/>
      <c r="M59" s="270"/>
      <c r="N59" s="270"/>
      <c r="O59" s="270"/>
    </row>
    <row r="60" spans="1:15" s="242" customFormat="1" ht="33" outlineLevel="1" x14ac:dyDescent="0.25">
      <c r="A60" s="255" t="s">
        <v>353</v>
      </c>
      <c r="B60" s="271" t="str">
        <f>'целевые показатели'!B90</f>
        <v>Ремонт Новосильское шоссе (элементы обустройства автомобильных дорог)</v>
      </c>
      <c r="C60" s="272">
        <v>25.7</v>
      </c>
      <c r="D60" s="244">
        <v>0</v>
      </c>
      <c r="E60" s="225">
        <v>0</v>
      </c>
      <c r="F60" s="244">
        <v>25.442999999999998</v>
      </c>
      <c r="G60" s="269">
        <v>0.25700000000000145</v>
      </c>
      <c r="H60" s="270"/>
      <c r="I60" s="270"/>
      <c r="J60" s="270"/>
      <c r="K60" s="270"/>
      <c r="L60" s="270"/>
      <c r="M60" s="270"/>
      <c r="N60" s="270"/>
      <c r="O60" s="270"/>
    </row>
    <row r="61" spans="1:15" s="242" customFormat="1" ht="33" outlineLevel="1" x14ac:dyDescent="0.25">
      <c r="A61" s="255" t="s">
        <v>354</v>
      </c>
      <c r="B61" s="271" t="str">
        <f>'целевые показатели'!B91</f>
        <v>Ремонт ул. Ливенская (элементы обустройства автомобильных дорог)</v>
      </c>
      <c r="C61" s="272">
        <v>51.4</v>
      </c>
      <c r="D61" s="244">
        <v>0</v>
      </c>
      <c r="E61" s="225">
        <v>0</v>
      </c>
      <c r="F61" s="244">
        <v>50.885999999999996</v>
      </c>
      <c r="G61" s="269">
        <v>0.5140000000000029</v>
      </c>
      <c r="H61" s="270"/>
      <c r="I61" s="270"/>
      <c r="J61" s="270"/>
      <c r="K61" s="270"/>
      <c r="L61" s="270"/>
      <c r="M61" s="270"/>
      <c r="N61" s="270"/>
      <c r="O61" s="270"/>
    </row>
    <row r="62" spans="1:15" s="242" customFormat="1" ht="33" outlineLevel="1" x14ac:dyDescent="0.25">
      <c r="A62" s="255" t="s">
        <v>311</v>
      </c>
      <c r="B62" s="271" t="str">
        <f>'целевые показатели'!B92</f>
        <v>Ремонт ул. Паровозная (элементы обустройства автомобильных дорог)</v>
      </c>
      <c r="C62" s="272">
        <v>51.4</v>
      </c>
      <c r="D62" s="244">
        <v>0</v>
      </c>
      <c r="E62" s="225">
        <v>0</v>
      </c>
      <c r="F62" s="244">
        <v>50.885999999999996</v>
      </c>
      <c r="G62" s="269">
        <v>0.5140000000000029</v>
      </c>
      <c r="H62" s="270"/>
      <c r="I62" s="270"/>
      <c r="J62" s="270"/>
      <c r="K62" s="270"/>
      <c r="L62" s="270"/>
      <c r="M62" s="270"/>
      <c r="N62" s="270"/>
      <c r="O62" s="270"/>
    </row>
    <row r="63" spans="1:15" ht="33" outlineLevel="1" x14ac:dyDescent="0.25">
      <c r="A63" s="255" t="s">
        <v>355</v>
      </c>
      <c r="B63" s="251" t="str">
        <f>'целевые показатели'!B93</f>
        <v>Ремонт пер.Маслозаводской (элементы обустройства автомобильных дорог)</v>
      </c>
      <c r="C63" s="224">
        <v>25.7</v>
      </c>
      <c r="D63" s="273">
        <v>0</v>
      </c>
      <c r="E63" s="273">
        <v>0</v>
      </c>
      <c r="F63" s="273">
        <v>25.442999999999998</v>
      </c>
      <c r="G63" s="274">
        <v>0.25700000000000145</v>
      </c>
      <c r="J63" s="208"/>
      <c r="K63" s="208"/>
      <c r="L63" s="208"/>
      <c r="M63" s="208"/>
      <c r="N63" s="208"/>
      <c r="O63" s="208"/>
    </row>
    <row r="64" spans="1:15" ht="33" outlineLevel="1" x14ac:dyDescent="0.25">
      <c r="A64" s="255" t="s">
        <v>356</v>
      </c>
      <c r="B64" s="251" t="s">
        <v>394</v>
      </c>
      <c r="C64" s="224">
        <v>599.72400000000005</v>
      </c>
      <c r="D64" s="273">
        <v>0</v>
      </c>
      <c r="E64" s="273">
        <v>0</v>
      </c>
      <c r="F64" s="273">
        <v>0</v>
      </c>
      <c r="G64" s="274">
        <v>599.72400000000005</v>
      </c>
      <c r="H64" s="208" t="s">
        <v>158</v>
      </c>
      <c r="J64" s="208"/>
      <c r="K64" s="208"/>
      <c r="L64" s="208"/>
      <c r="M64" s="208"/>
      <c r="N64" s="208"/>
      <c r="O64" s="208"/>
    </row>
    <row r="65" spans="1:15" ht="19.5" customHeight="1" outlineLevel="1" x14ac:dyDescent="0.25">
      <c r="A65" s="255" t="s">
        <v>401</v>
      </c>
      <c r="B65" s="251" t="s">
        <v>395</v>
      </c>
      <c r="C65" s="224">
        <v>599.66639999999995</v>
      </c>
      <c r="D65" s="273">
        <v>0</v>
      </c>
      <c r="E65" s="273">
        <v>0</v>
      </c>
      <c r="F65" s="273">
        <v>0</v>
      </c>
      <c r="G65" s="274">
        <v>599.66639999999995</v>
      </c>
      <c r="H65" s="208" t="s">
        <v>158</v>
      </c>
      <c r="J65" s="208"/>
      <c r="K65" s="208"/>
      <c r="L65" s="208"/>
      <c r="M65" s="208"/>
      <c r="N65" s="208"/>
      <c r="O65" s="208"/>
    </row>
    <row r="66" spans="1:15" ht="49.5" outlineLevel="1" x14ac:dyDescent="0.25">
      <c r="A66" s="255" t="s">
        <v>357</v>
      </c>
      <c r="B66" s="251" t="s">
        <v>397</v>
      </c>
      <c r="C66" s="224">
        <v>212.51168000000001</v>
      </c>
      <c r="D66" s="273">
        <v>0</v>
      </c>
      <c r="E66" s="273">
        <v>0</v>
      </c>
      <c r="F66" s="273">
        <v>0</v>
      </c>
      <c r="G66" s="274">
        <v>212.51168000000001</v>
      </c>
      <c r="H66" s="208" t="s">
        <v>158</v>
      </c>
      <c r="J66" s="208"/>
      <c r="K66" s="208"/>
      <c r="L66" s="208"/>
      <c r="M66" s="208"/>
      <c r="N66" s="208"/>
      <c r="O66" s="208"/>
    </row>
    <row r="67" spans="1:15" ht="69" customHeight="1" outlineLevel="1" x14ac:dyDescent="0.25">
      <c r="A67" s="255" t="s">
        <v>402</v>
      </c>
      <c r="B67" s="251" t="s">
        <v>653</v>
      </c>
      <c r="C67" s="224">
        <v>98</v>
      </c>
      <c r="D67" s="273">
        <v>0</v>
      </c>
      <c r="E67" s="273">
        <v>0</v>
      </c>
      <c r="F67" s="273">
        <v>0</v>
      </c>
      <c r="G67" s="274">
        <v>98</v>
      </c>
      <c r="H67" s="208" t="s">
        <v>158</v>
      </c>
      <c r="J67" s="208"/>
      <c r="K67" s="208"/>
      <c r="L67" s="208"/>
      <c r="M67" s="208"/>
      <c r="N67" s="208"/>
      <c r="O67" s="208"/>
    </row>
    <row r="68" spans="1:15" ht="49.5" outlineLevel="1" x14ac:dyDescent="0.25">
      <c r="A68" s="255" t="s">
        <v>358</v>
      </c>
      <c r="B68" s="251" t="s">
        <v>438</v>
      </c>
      <c r="C68" s="224">
        <v>65</v>
      </c>
      <c r="D68" s="273">
        <v>0</v>
      </c>
      <c r="E68" s="273">
        <v>0</v>
      </c>
      <c r="F68" s="273">
        <v>0</v>
      </c>
      <c r="G68" s="274">
        <v>65</v>
      </c>
      <c r="H68" s="208" t="s">
        <v>158</v>
      </c>
      <c r="J68" s="208"/>
      <c r="K68" s="208"/>
      <c r="L68" s="208"/>
      <c r="M68" s="208"/>
      <c r="N68" s="208"/>
      <c r="O68" s="208"/>
    </row>
    <row r="69" spans="1:15" ht="36" customHeight="1" outlineLevel="1" x14ac:dyDescent="0.25">
      <c r="A69" s="255" t="s">
        <v>359</v>
      </c>
      <c r="B69" s="251" t="s">
        <v>439</v>
      </c>
      <c r="C69" s="224">
        <v>1917.0905399999999</v>
      </c>
      <c r="D69" s="273">
        <v>0</v>
      </c>
      <c r="E69" s="273">
        <v>0</v>
      </c>
      <c r="F69" s="273">
        <v>0</v>
      </c>
      <c r="G69" s="274">
        <v>1917.0905399999999</v>
      </c>
      <c r="H69" s="208" t="s">
        <v>158</v>
      </c>
      <c r="J69" s="208"/>
      <c r="K69" s="208"/>
      <c r="L69" s="208"/>
      <c r="M69" s="208"/>
      <c r="N69" s="208"/>
      <c r="O69" s="208"/>
    </row>
    <row r="70" spans="1:15" ht="36" customHeight="1" outlineLevel="1" x14ac:dyDescent="0.25">
      <c r="A70" s="255" t="s">
        <v>360</v>
      </c>
      <c r="B70" s="251" t="s">
        <v>654</v>
      </c>
      <c r="C70" s="224">
        <v>99.858000000000004</v>
      </c>
      <c r="D70" s="273">
        <v>0</v>
      </c>
      <c r="E70" s="273">
        <v>0</v>
      </c>
      <c r="F70" s="273">
        <v>0</v>
      </c>
      <c r="G70" s="274">
        <v>99.858000000000004</v>
      </c>
      <c r="H70" s="208" t="s">
        <v>158</v>
      </c>
      <c r="J70" s="208"/>
      <c r="K70" s="208"/>
      <c r="L70" s="208"/>
      <c r="M70" s="208"/>
      <c r="N70" s="208"/>
      <c r="O70" s="208"/>
    </row>
    <row r="71" spans="1:15" ht="33" outlineLevel="1" x14ac:dyDescent="0.25">
      <c r="A71" s="255" t="s">
        <v>361</v>
      </c>
      <c r="B71" s="251" t="s">
        <v>399</v>
      </c>
      <c r="C71" s="224">
        <v>450</v>
      </c>
      <c r="D71" s="273">
        <v>0</v>
      </c>
      <c r="E71" s="273">
        <v>0</v>
      </c>
      <c r="F71" s="273">
        <v>0</v>
      </c>
      <c r="G71" s="274">
        <v>450</v>
      </c>
      <c r="H71" s="208" t="s">
        <v>158</v>
      </c>
      <c r="J71" s="208"/>
      <c r="K71" s="208"/>
      <c r="L71" s="208"/>
      <c r="M71" s="208"/>
      <c r="N71" s="208"/>
      <c r="O71" s="208"/>
    </row>
    <row r="72" spans="1:15" ht="49.5" outlineLevel="1" x14ac:dyDescent="0.25">
      <c r="A72" s="255" t="s">
        <v>362</v>
      </c>
      <c r="B72" s="251" t="str">
        <f>'целевые показатели'!B121</f>
        <v>устройство специальных технических средств контроля соблюдений ПДД на нерегулируемом пешеходном переходе по ул.Комсомольская, 237 (объекты 2021 года)</v>
      </c>
      <c r="C72" s="224">
        <v>2686.5</v>
      </c>
      <c r="D72" s="225">
        <v>0</v>
      </c>
      <c r="E72" s="225">
        <v>0</v>
      </c>
      <c r="F72" s="225">
        <v>2659.6349999999998</v>
      </c>
      <c r="G72" s="226">
        <v>26.865000000000236</v>
      </c>
      <c r="J72" s="12"/>
    </row>
    <row r="73" spans="1:15" ht="54" customHeight="1" outlineLevel="1" x14ac:dyDescent="0.25">
      <c r="A73" s="255" t="s">
        <v>363</v>
      </c>
      <c r="B73" s="251" t="str">
        <f>'целевые показатели'!B122</f>
        <v>устройство специальных технических средств контроля соблюдений ПДД на нерегулируемом пешеходном переходе по ул.Приборостроительная, 8 (объекты 2021 года)</v>
      </c>
      <c r="C73" s="224">
        <v>2686.5</v>
      </c>
      <c r="D73" s="225">
        <v>0</v>
      </c>
      <c r="E73" s="225">
        <v>0</v>
      </c>
      <c r="F73" s="225">
        <v>2659.6349999999998</v>
      </c>
      <c r="G73" s="226">
        <v>26.865000000000236</v>
      </c>
      <c r="J73" s="12"/>
    </row>
    <row r="74" spans="1:15" ht="51" customHeight="1" outlineLevel="1" x14ac:dyDescent="0.25">
      <c r="A74" s="255" t="s">
        <v>364</v>
      </c>
      <c r="B74" s="251" t="str">
        <f>'целевые показатели'!B123</f>
        <v>устройство специальных технических средств контроля соблюдений ПДД на нерегулируемом пешеходном переходе по ул.Карачевская, 61 (объекты 2021 года)</v>
      </c>
      <c r="C74" s="224">
        <v>2686.5</v>
      </c>
      <c r="D74" s="225">
        <v>0</v>
      </c>
      <c r="E74" s="225">
        <v>0</v>
      </c>
      <c r="F74" s="225">
        <v>2659.6349999999998</v>
      </c>
      <c r="G74" s="226">
        <v>26.865000000000236</v>
      </c>
      <c r="J74" s="12"/>
    </row>
    <row r="75" spans="1:15" ht="51" customHeight="1" outlineLevel="1" x14ac:dyDescent="0.25">
      <c r="A75" s="255" t="s">
        <v>365</v>
      </c>
      <c r="B75" s="251" t="str">
        <f>'целевые показатели'!B124</f>
        <v>устройство специальных технических средств контроля соблюдений ПДД на нерегулируемом пешеходном переходе по Кромское шоссе, 1 (объекты 2021 года)</v>
      </c>
      <c r="C75" s="224">
        <v>2686.5</v>
      </c>
      <c r="D75" s="225">
        <v>0</v>
      </c>
      <c r="E75" s="225">
        <v>0</v>
      </c>
      <c r="F75" s="225">
        <v>2659.6349999999998</v>
      </c>
      <c r="G75" s="226">
        <v>26.865000000000236</v>
      </c>
      <c r="J75" s="12"/>
      <c r="L75" s="12"/>
    </row>
    <row r="76" spans="1:15" ht="49.5" outlineLevel="1" x14ac:dyDescent="0.25">
      <c r="A76" s="255" t="s">
        <v>366</v>
      </c>
      <c r="B76" s="251" t="str">
        <f>'целевые показатели'!B126</f>
        <v>устройство специальных технических средств контроля соблюдений ПДД на нерегулируемом пешеходном переходе по ул.Ливенская, 48 (объекты 2021 года)</v>
      </c>
      <c r="C76" s="224">
        <v>2686.5</v>
      </c>
      <c r="D76" s="225">
        <v>0</v>
      </c>
      <c r="E76" s="225">
        <v>0</v>
      </c>
      <c r="F76" s="225">
        <v>2659.6349999999998</v>
      </c>
      <c r="G76" s="226">
        <v>26.865000000000236</v>
      </c>
      <c r="J76" s="12"/>
      <c r="K76" s="12"/>
      <c r="M76" s="12"/>
    </row>
    <row r="77" spans="1:15" ht="51" customHeight="1" outlineLevel="1" x14ac:dyDescent="0.25">
      <c r="A77" s="255" t="s">
        <v>367</v>
      </c>
      <c r="B77" s="251" t="str">
        <f>'целевые показатели'!B126</f>
        <v>устройство специальных технических средств контроля соблюдений ПДД на нерегулируемом пешеходном переходе по ул.Ливенская, 48 (объекты 2021 года)</v>
      </c>
      <c r="C77" s="224">
        <v>2686.5</v>
      </c>
      <c r="D77" s="225">
        <v>0</v>
      </c>
      <c r="E77" s="225">
        <v>0</v>
      </c>
      <c r="F77" s="225">
        <v>2659.6349999999998</v>
      </c>
      <c r="G77" s="226">
        <v>26.865000000000236</v>
      </c>
      <c r="K77" s="12"/>
    </row>
    <row r="78" spans="1:15" ht="16.5" customHeight="1" outlineLevel="1" x14ac:dyDescent="0.25">
      <c r="A78" s="255" t="s">
        <v>403</v>
      </c>
      <c r="B78" s="243" t="s">
        <v>205</v>
      </c>
      <c r="C78" s="224">
        <v>12420.168001999999</v>
      </c>
      <c r="D78" s="225">
        <v>0</v>
      </c>
      <c r="E78" s="225">
        <v>0</v>
      </c>
      <c r="F78" s="225">
        <v>12295.966321979999</v>
      </c>
      <c r="G78" s="226">
        <v>124.20168001999991</v>
      </c>
    </row>
    <row r="79" spans="1:15" ht="16.5" outlineLevel="1" x14ac:dyDescent="0.25">
      <c r="A79" s="255" t="s">
        <v>404</v>
      </c>
      <c r="B79" s="251" t="s">
        <v>73</v>
      </c>
      <c r="C79" s="224">
        <v>19371.843597999999</v>
      </c>
      <c r="D79" s="225">
        <v>0</v>
      </c>
      <c r="E79" s="225">
        <v>0</v>
      </c>
      <c r="F79" s="225">
        <v>19178.125162019998</v>
      </c>
      <c r="G79" s="226">
        <v>193.71843598000123</v>
      </c>
      <c r="J79" s="12"/>
    </row>
    <row r="80" spans="1:15" s="242" customFormat="1" ht="33" outlineLevel="1" x14ac:dyDescent="0.25">
      <c r="A80" s="255" t="s">
        <v>405</v>
      </c>
      <c r="B80" s="250" t="s">
        <v>27</v>
      </c>
      <c r="C80" s="272">
        <v>10422.469540000002</v>
      </c>
      <c r="D80" s="244">
        <v>0</v>
      </c>
      <c r="E80" s="225">
        <v>0</v>
      </c>
      <c r="F80" s="244">
        <v>9276.3299772000009</v>
      </c>
      <c r="G80" s="226">
        <v>1146.1395628000009</v>
      </c>
      <c r="H80" s="270" t="s">
        <v>158</v>
      </c>
      <c r="I80" s="270"/>
      <c r="J80" s="275"/>
    </row>
    <row r="81" spans="1:10" ht="16.5" outlineLevel="1" x14ac:dyDescent="0.25">
      <c r="A81" s="255" t="s">
        <v>406</v>
      </c>
      <c r="B81" s="251" t="s">
        <v>28</v>
      </c>
      <c r="C81" s="224">
        <v>14999.999999999985</v>
      </c>
      <c r="D81" s="225">
        <v>0</v>
      </c>
      <c r="E81" s="225">
        <v>0</v>
      </c>
      <c r="F81" s="225">
        <v>14849.999999999985</v>
      </c>
      <c r="G81" s="226">
        <v>150</v>
      </c>
    </row>
    <row r="82" spans="1:10" ht="94.5" outlineLevel="1" x14ac:dyDescent="0.25">
      <c r="A82" s="217">
        <v>3</v>
      </c>
      <c r="B82" s="219" t="s">
        <v>436</v>
      </c>
      <c r="C82" s="276">
        <f>SUM(C83:C87)</f>
        <v>367992.78631999996</v>
      </c>
      <c r="D82" s="276">
        <f>SUM(D83:D87)</f>
        <v>0</v>
      </c>
      <c r="E82" s="276">
        <f>SUM(E83:E87)</f>
        <v>0</v>
      </c>
      <c r="F82" s="276">
        <f>SUM(F83:F87)</f>
        <v>363264.53048820002</v>
      </c>
      <c r="G82" s="277">
        <f>SUM(G83:G87)</f>
        <v>4728.2558318000083</v>
      </c>
      <c r="H82" s="208">
        <f>'целевые показатели'!I137</f>
        <v>367992.78631999996</v>
      </c>
    </row>
    <row r="83" spans="1:10" ht="16.5" outlineLevel="1" x14ac:dyDescent="0.25">
      <c r="A83" s="278" t="s">
        <v>68</v>
      </c>
      <c r="B83" s="279" t="s">
        <v>29</v>
      </c>
      <c r="C83" s="280">
        <v>92917.988440000001</v>
      </c>
      <c r="D83" s="281">
        <v>0</v>
      </c>
      <c r="E83" s="281">
        <v>0</v>
      </c>
      <c r="F83" s="281">
        <v>91988.808555600001</v>
      </c>
      <c r="G83" s="282">
        <v>929.17988440000045</v>
      </c>
      <c r="H83" s="208" t="s">
        <v>408</v>
      </c>
      <c r="I83" s="283">
        <f>F83+F84+F85</f>
        <v>280725.79076190002</v>
      </c>
      <c r="J83" s="207" t="s">
        <v>157</v>
      </c>
    </row>
    <row r="84" spans="1:10" ht="16.5" outlineLevel="1" x14ac:dyDescent="0.25">
      <c r="A84" s="222" t="s">
        <v>69</v>
      </c>
      <c r="B84" s="279" t="s">
        <v>140</v>
      </c>
      <c r="C84" s="280">
        <v>158534.92733999999</v>
      </c>
      <c r="D84" s="281">
        <v>0</v>
      </c>
      <c r="E84" s="281">
        <v>0</v>
      </c>
      <c r="F84" s="281">
        <v>156949.57806659999</v>
      </c>
      <c r="G84" s="282">
        <v>1585.3492734000029</v>
      </c>
      <c r="H84" s="208" t="s">
        <v>408</v>
      </c>
    </row>
    <row r="85" spans="1:10" ht="16.5" outlineLevel="1" x14ac:dyDescent="0.25">
      <c r="A85" s="222" t="s">
        <v>70</v>
      </c>
      <c r="B85" s="279" t="s">
        <v>30</v>
      </c>
      <c r="C85" s="280">
        <v>32108.489030000001</v>
      </c>
      <c r="D85" s="281">
        <v>0</v>
      </c>
      <c r="E85" s="281">
        <v>0</v>
      </c>
      <c r="F85" s="281">
        <v>31787.4041397</v>
      </c>
      <c r="G85" s="282">
        <v>321.08489030000055</v>
      </c>
      <c r="H85" s="208" t="s">
        <v>408</v>
      </c>
    </row>
    <row r="86" spans="1:10" ht="16.5" outlineLevel="1" x14ac:dyDescent="0.25">
      <c r="A86" s="255" t="s">
        <v>71</v>
      </c>
      <c r="B86" s="251" t="s">
        <v>26</v>
      </c>
      <c r="C86" s="280">
        <v>83546.059510000006</v>
      </c>
      <c r="D86" s="281">
        <v>0</v>
      </c>
      <c r="E86" s="281">
        <v>0</v>
      </c>
      <c r="F86" s="281">
        <v>82538.739726300002</v>
      </c>
      <c r="G86" s="282">
        <v>1007.3197837000043</v>
      </c>
    </row>
    <row r="87" spans="1:10" ht="33" outlineLevel="1" x14ac:dyDescent="0.25">
      <c r="A87" s="255" t="s">
        <v>72</v>
      </c>
      <c r="B87" s="271" t="s">
        <v>27</v>
      </c>
      <c r="C87" s="280">
        <v>885.322</v>
      </c>
      <c r="D87" s="225">
        <v>0</v>
      </c>
      <c r="E87" s="225">
        <v>0</v>
      </c>
      <c r="F87" s="225">
        <v>0</v>
      </c>
      <c r="G87" s="284">
        <v>885.322</v>
      </c>
      <c r="H87" s="208" t="s">
        <v>158</v>
      </c>
    </row>
    <row r="88" spans="1:10" ht="47.25" outlineLevel="1" x14ac:dyDescent="0.25">
      <c r="A88" s="217">
        <v>4</v>
      </c>
      <c r="B88" s="219" t="s">
        <v>51</v>
      </c>
      <c r="C88" s="276">
        <f>SUM(C89:C116)</f>
        <v>9330.6510808000021</v>
      </c>
      <c r="D88" s="276">
        <f>SUM(D89:D116)</f>
        <v>0</v>
      </c>
      <c r="E88" s="276">
        <f>SUM(E89:E116)</f>
        <v>0</v>
      </c>
      <c r="F88" s="276">
        <f>SUM(F89:F116)</f>
        <v>5806.1000002599994</v>
      </c>
      <c r="G88" s="277">
        <f>SUM(G89:G116)</f>
        <v>3524.5510805399999</v>
      </c>
      <c r="H88" s="285">
        <f>'целевые показатели'!I168</f>
        <v>0</v>
      </c>
      <c r="I88" s="285"/>
    </row>
    <row r="89" spans="1:10" hidden="1" outlineLevel="1" x14ac:dyDescent="0.25">
      <c r="A89" s="255" t="s">
        <v>52</v>
      </c>
      <c r="B89" s="247" t="s">
        <v>32</v>
      </c>
      <c r="C89" s="280">
        <f>'целевые показатели'!I168</f>
        <v>0</v>
      </c>
      <c r="D89" s="225">
        <v>0</v>
      </c>
      <c r="E89" s="225"/>
      <c r="F89" s="225">
        <v>0</v>
      </c>
      <c r="G89" s="286">
        <v>0</v>
      </c>
    </row>
    <row r="90" spans="1:10" hidden="1" outlineLevel="1" x14ac:dyDescent="0.25">
      <c r="A90" s="255" t="s">
        <v>53</v>
      </c>
      <c r="B90" s="247" t="s">
        <v>33</v>
      </c>
      <c r="C90" s="280">
        <f>'целевые показатели'!I169</f>
        <v>0</v>
      </c>
      <c r="D90" s="225">
        <v>0</v>
      </c>
      <c r="E90" s="225"/>
      <c r="F90" s="225">
        <v>0</v>
      </c>
      <c r="G90" s="286">
        <v>0</v>
      </c>
    </row>
    <row r="91" spans="1:10" ht="31.5" outlineLevel="1" x14ac:dyDescent="0.25">
      <c r="A91" s="255" t="s">
        <v>52</v>
      </c>
      <c r="B91" s="247" t="s">
        <v>146</v>
      </c>
      <c r="C91" s="280">
        <v>150</v>
      </c>
      <c r="D91" s="225">
        <v>0</v>
      </c>
      <c r="E91" s="225">
        <v>0</v>
      </c>
      <c r="F91" s="225">
        <v>0</v>
      </c>
      <c r="G91" s="286">
        <v>150</v>
      </c>
    </row>
    <row r="92" spans="1:10" ht="31.5" customHeight="1" outlineLevel="1" x14ac:dyDescent="0.25">
      <c r="A92" s="255" t="s">
        <v>53</v>
      </c>
      <c r="B92" s="247" t="s">
        <v>147</v>
      </c>
      <c r="C92" s="280">
        <v>150</v>
      </c>
      <c r="D92" s="225">
        <v>0</v>
      </c>
      <c r="E92" s="225">
        <v>0</v>
      </c>
      <c r="F92" s="225">
        <v>0</v>
      </c>
      <c r="G92" s="286">
        <v>150</v>
      </c>
    </row>
    <row r="93" spans="1:10" ht="47.25" outlineLevel="1" x14ac:dyDescent="0.25">
      <c r="A93" s="255" t="s">
        <v>54</v>
      </c>
      <c r="B93" s="287" t="s">
        <v>253</v>
      </c>
      <c r="C93" s="288">
        <v>937.91759999999999</v>
      </c>
      <c r="D93" s="225">
        <v>0</v>
      </c>
      <c r="E93" s="225">
        <v>0</v>
      </c>
      <c r="F93" s="225">
        <v>0</v>
      </c>
      <c r="G93" s="286">
        <v>937.91759999999999</v>
      </c>
      <c r="H93" s="289" t="s">
        <v>158</v>
      </c>
    </row>
    <row r="94" spans="1:10" ht="51" customHeight="1" outlineLevel="1" x14ac:dyDescent="0.25">
      <c r="A94" s="255" t="s">
        <v>88</v>
      </c>
      <c r="B94" s="287" t="s">
        <v>655</v>
      </c>
      <c r="C94" s="288">
        <v>940.24440000000004</v>
      </c>
      <c r="D94" s="225">
        <v>0</v>
      </c>
      <c r="E94" s="225">
        <v>0</v>
      </c>
      <c r="F94" s="225">
        <v>0</v>
      </c>
      <c r="G94" s="286">
        <v>940.24440000000004</v>
      </c>
      <c r="H94" s="289" t="s">
        <v>158</v>
      </c>
    </row>
    <row r="95" spans="1:10" ht="51" customHeight="1" outlineLevel="1" x14ac:dyDescent="0.25">
      <c r="A95" s="255" t="s">
        <v>179</v>
      </c>
      <c r="B95" s="287" t="s">
        <v>255</v>
      </c>
      <c r="C95" s="288">
        <v>467.87470000000002</v>
      </c>
      <c r="D95" s="225">
        <v>0</v>
      </c>
      <c r="E95" s="225">
        <v>0</v>
      </c>
      <c r="F95" s="225">
        <v>0</v>
      </c>
      <c r="G95" s="286">
        <v>467.87470000000002</v>
      </c>
      <c r="H95" s="289" t="s">
        <v>158</v>
      </c>
      <c r="I95" s="290"/>
      <c r="J95" s="291"/>
    </row>
    <row r="96" spans="1:10" ht="16.5" outlineLevel="1" x14ac:dyDescent="0.25">
      <c r="A96" s="255" t="s">
        <v>180</v>
      </c>
      <c r="B96" s="292" t="s">
        <v>392</v>
      </c>
      <c r="C96" s="288">
        <v>58.090919999999997</v>
      </c>
      <c r="D96" s="225">
        <v>0</v>
      </c>
      <c r="E96" s="225">
        <v>0</v>
      </c>
      <c r="F96" s="225">
        <v>0</v>
      </c>
      <c r="G96" s="286">
        <v>58.090919999999997</v>
      </c>
      <c r="H96" s="289" t="s">
        <v>158</v>
      </c>
      <c r="I96" s="290"/>
      <c r="J96" s="291"/>
    </row>
    <row r="97" spans="1:11" s="293" customFormat="1" ht="51" hidden="1" customHeight="1" outlineLevel="2" x14ac:dyDescent="0.25">
      <c r="A97" s="255" t="s">
        <v>201</v>
      </c>
      <c r="B97" s="294" t="s">
        <v>277</v>
      </c>
      <c r="C97" s="295">
        <v>0</v>
      </c>
      <c r="D97" s="296">
        <v>0</v>
      </c>
      <c r="E97" s="225">
        <v>0</v>
      </c>
      <c r="F97" s="296">
        <v>0</v>
      </c>
      <c r="G97" s="297">
        <v>0</v>
      </c>
      <c r="H97" s="298" t="s">
        <v>372</v>
      </c>
      <c r="I97" s="298"/>
      <c r="J97" s="299"/>
    </row>
    <row r="98" spans="1:11" s="293" customFormat="1" ht="51" hidden="1" customHeight="1" outlineLevel="2" x14ac:dyDescent="0.25">
      <c r="A98" s="255" t="s">
        <v>215</v>
      </c>
      <c r="B98" s="294" t="s">
        <v>289</v>
      </c>
      <c r="C98" s="295">
        <v>0</v>
      </c>
      <c r="D98" s="296">
        <v>0</v>
      </c>
      <c r="E98" s="225">
        <v>0</v>
      </c>
      <c r="F98" s="296">
        <v>0</v>
      </c>
      <c r="G98" s="297">
        <v>0</v>
      </c>
      <c r="H98" s="289" t="s">
        <v>158</v>
      </c>
      <c r="I98" s="289"/>
    </row>
    <row r="99" spans="1:11" s="293" customFormat="1" ht="51" hidden="1" customHeight="1" outlineLevel="2" x14ac:dyDescent="0.25">
      <c r="A99" s="255" t="s">
        <v>216</v>
      </c>
      <c r="B99" s="294" t="s">
        <v>279</v>
      </c>
      <c r="C99" s="295">
        <v>0</v>
      </c>
      <c r="D99" s="296">
        <v>0</v>
      </c>
      <c r="E99" s="225">
        <v>0</v>
      </c>
      <c r="F99" s="296">
        <v>0</v>
      </c>
      <c r="G99" s="297">
        <v>0</v>
      </c>
      <c r="H99" s="289" t="s">
        <v>158</v>
      </c>
      <c r="I99" s="289"/>
    </row>
    <row r="100" spans="1:11" s="293" customFormat="1" ht="51" hidden="1" customHeight="1" outlineLevel="2" x14ac:dyDescent="0.25">
      <c r="A100" s="255" t="s">
        <v>217</v>
      </c>
      <c r="B100" s="294" t="s">
        <v>276</v>
      </c>
      <c r="C100" s="295">
        <v>0</v>
      </c>
      <c r="D100" s="296">
        <v>0</v>
      </c>
      <c r="E100" s="225">
        <v>0</v>
      </c>
      <c r="F100" s="296">
        <v>0</v>
      </c>
      <c r="G100" s="297">
        <v>0</v>
      </c>
      <c r="H100" s="289" t="s">
        <v>158</v>
      </c>
      <c r="I100" s="289"/>
    </row>
    <row r="101" spans="1:11" ht="51" hidden="1" customHeight="1" outlineLevel="2" x14ac:dyDescent="0.25">
      <c r="A101" s="255" t="s">
        <v>270</v>
      </c>
      <c r="B101" s="243" t="s">
        <v>280</v>
      </c>
      <c r="C101" s="280">
        <v>0</v>
      </c>
      <c r="D101" s="225">
        <v>0</v>
      </c>
      <c r="E101" s="225">
        <v>0</v>
      </c>
      <c r="F101" s="225">
        <v>0</v>
      </c>
      <c r="G101" s="286">
        <v>0</v>
      </c>
    </row>
    <row r="102" spans="1:11" s="293" customFormat="1" ht="51" hidden="1" customHeight="1" outlineLevel="2" x14ac:dyDescent="0.25">
      <c r="A102" s="255" t="s">
        <v>271</v>
      </c>
      <c r="B102" s="294" t="s">
        <v>286</v>
      </c>
      <c r="C102" s="295">
        <v>0</v>
      </c>
      <c r="D102" s="296">
        <v>0</v>
      </c>
      <c r="E102" s="225">
        <v>0</v>
      </c>
      <c r="F102" s="296">
        <v>0</v>
      </c>
      <c r="G102" s="297">
        <v>0</v>
      </c>
      <c r="H102" s="289" t="s">
        <v>158</v>
      </c>
      <c r="I102" s="289"/>
    </row>
    <row r="103" spans="1:11" s="293" customFormat="1" ht="51" hidden="1" customHeight="1" outlineLevel="2" x14ac:dyDescent="0.25">
      <c r="A103" s="255" t="s">
        <v>272</v>
      </c>
      <c r="B103" s="294" t="s">
        <v>282</v>
      </c>
      <c r="C103" s="295">
        <v>0</v>
      </c>
      <c r="D103" s="296">
        <v>0</v>
      </c>
      <c r="E103" s="225">
        <v>0</v>
      </c>
      <c r="F103" s="296">
        <v>0</v>
      </c>
      <c r="G103" s="297">
        <v>0</v>
      </c>
      <c r="H103" s="289" t="s">
        <v>158</v>
      </c>
      <c r="I103" s="289"/>
      <c r="J103" s="299"/>
      <c r="K103" s="299"/>
    </row>
    <row r="104" spans="1:11" ht="51" hidden="1" customHeight="1" outlineLevel="2" x14ac:dyDescent="0.25">
      <c r="A104" s="255" t="s">
        <v>273</v>
      </c>
      <c r="B104" s="243" t="s">
        <v>287</v>
      </c>
      <c r="C104" s="280">
        <v>0</v>
      </c>
      <c r="D104" s="225">
        <v>0</v>
      </c>
      <c r="E104" s="225">
        <v>0</v>
      </c>
      <c r="F104" s="225">
        <v>0</v>
      </c>
      <c r="G104" s="286">
        <v>0</v>
      </c>
      <c r="K104" s="12"/>
    </row>
    <row r="105" spans="1:11" ht="51" hidden="1" customHeight="1" outlineLevel="2" x14ac:dyDescent="0.25">
      <c r="A105" s="255" t="s">
        <v>274</v>
      </c>
      <c r="B105" s="243" t="s">
        <v>284</v>
      </c>
      <c r="C105" s="280">
        <v>0</v>
      </c>
      <c r="D105" s="225">
        <v>0</v>
      </c>
      <c r="E105" s="225">
        <v>0</v>
      </c>
      <c r="F105" s="225">
        <v>0</v>
      </c>
      <c r="G105" s="286">
        <v>0</v>
      </c>
    </row>
    <row r="106" spans="1:11" ht="51" hidden="1" customHeight="1" outlineLevel="2" x14ac:dyDescent="0.25">
      <c r="A106" s="255" t="s">
        <v>305</v>
      </c>
      <c r="B106" s="243" t="s">
        <v>288</v>
      </c>
      <c r="C106" s="280">
        <v>0</v>
      </c>
      <c r="D106" s="225">
        <v>0</v>
      </c>
      <c r="E106" s="225">
        <v>0</v>
      </c>
      <c r="F106" s="225">
        <v>0</v>
      </c>
      <c r="G106" s="286">
        <v>0</v>
      </c>
    </row>
    <row r="107" spans="1:11" ht="55.5" hidden="1" customHeight="1" outlineLevel="2" x14ac:dyDescent="0.25">
      <c r="A107" s="255" t="s">
        <v>306</v>
      </c>
      <c r="B107" s="243" t="str">
        <f>'целевые показатели'!B186</f>
        <v>устройство (монтаж) недостающих средств организации и регулирования дорожного движения в районе пересечения ул.Трудовые резервы и ул. Генерала Родина</v>
      </c>
      <c r="C107" s="280">
        <v>0</v>
      </c>
      <c r="D107" s="225">
        <v>0</v>
      </c>
      <c r="E107" s="225">
        <v>0</v>
      </c>
      <c r="F107" s="225">
        <v>0</v>
      </c>
      <c r="G107" s="286">
        <v>0</v>
      </c>
      <c r="H107" s="270" t="s">
        <v>158</v>
      </c>
      <c r="I107" s="270"/>
    </row>
    <row r="108" spans="1:11" s="242" customFormat="1" ht="63" outlineLevel="3" x14ac:dyDescent="0.25">
      <c r="A108" s="255" t="s">
        <v>201</v>
      </c>
      <c r="B108" s="247" t="s">
        <v>656</v>
      </c>
      <c r="C108" s="280">
        <v>1603.2324000000001</v>
      </c>
      <c r="D108" s="225">
        <v>0</v>
      </c>
      <c r="E108" s="225">
        <v>0</v>
      </c>
      <c r="F108" s="273">
        <v>1523.07078</v>
      </c>
      <c r="G108" s="300">
        <v>80.161620000000084</v>
      </c>
      <c r="H108" s="270"/>
      <c r="I108" s="270"/>
    </row>
    <row r="109" spans="1:11" s="242" customFormat="1" ht="47.25" outlineLevel="3" x14ac:dyDescent="0.25">
      <c r="A109" s="255" t="s">
        <v>215</v>
      </c>
      <c r="B109" s="247" t="s">
        <v>207</v>
      </c>
      <c r="C109" s="280">
        <v>2154.2671099999998</v>
      </c>
      <c r="D109" s="225">
        <v>0</v>
      </c>
      <c r="E109" s="225">
        <v>0</v>
      </c>
      <c r="F109" s="273">
        <v>2046.5537544999997</v>
      </c>
      <c r="G109" s="300">
        <v>107.71335550000003</v>
      </c>
      <c r="H109" s="301"/>
      <c r="I109" s="301"/>
    </row>
    <row r="110" spans="1:11" s="242" customFormat="1" ht="47.25" outlineLevel="3" x14ac:dyDescent="0.25">
      <c r="A110" s="255" t="s">
        <v>216</v>
      </c>
      <c r="B110" s="247" t="s">
        <v>208</v>
      </c>
      <c r="C110" s="280">
        <v>1489.1971007999998</v>
      </c>
      <c r="D110" s="225">
        <v>0</v>
      </c>
      <c r="E110" s="225">
        <v>0</v>
      </c>
      <c r="F110" s="273">
        <v>1414.7372457599997</v>
      </c>
      <c r="G110" s="300">
        <v>74.459855040000093</v>
      </c>
      <c r="H110" s="270"/>
      <c r="I110" s="270"/>
    </row>
    <row r="111" spans="1:11" s="242" customFormat="1" ht="47.25" outlineLevel="3" x14ac:dyDescent="0.25">
      <c r="A111" s="255" t="s">
        <v>217</v>
      </c>
      <c r="B111" s="247" t="s">
        <v>657</v>
      </c>
      <c r="C111" s="280">
        <v>408.76042000000001</v>
      </c>
      <c r="D111" s="225">
        <v>0</v>
      </c>
      <c r="E111" s="225">
        <v>0</v>
      </c>
      <c r="F111" s="273">
        <v>388.32239900000002</v>
      </c>
      <c r="G111" s="300">
        <v>20.438020999999992</v>
      </c>
      <c r="H111" s="270"/>
      <c r="I111" s="270"/>
    </row>
    <row r="112" spans="1:11" s="242" customFormat="1" ht="47.25" outlineLevel="3" x14ac:dyDescent="0.25">
      <c r="A112" s="255" t="s">
        <v>270</v>
      </c>
      <c r="B112" s="247" t="s">
        <v>209</v>
      </c>
      <c r="C112" s="280">
        <v>35.221240000000002</v>
      </c>
      <c r="D112" s="225">
        <v>0</v>
      </c>
      <c r="E112" s="225">
        <v>0</v>
      </c>
      <c r="F112" s="273">
        <v>33.460177999999999</v>
      </c>
      <c r="G112" s="300">
        <v>1.7610620000000026</v>
      </c>
      <c r="H112" s="270"/>
      <c r="I112" s="270"/>
    </row>
    <row r="113" spans="1:11" s="242" customFormat="1" ht="47.25" outlineLevel="3" x14ac:dyDescent="0.25">
      <c r="A113" s="255" t="s">
        <v>271</v>
      </c>
      <c r="B113" s="247" t="s">
        <v>658</v>
      </c>
      <c r="C113" s="280">
        <v>421.00594000000001</v>
      </c>
      <c r="D113" s="225">
        <v>0</v>
      </c>
      <c r="E113" s="225">
        <v>0</v>
      </c>
      <c r="F113" s="273">
        <v>399.95564300000001</v>
      </c>
      <c r="G113" s="300">
        <v>21.050297</v>
      </c>
      <c r="H113" s="270"/>
      <c r="I113" s="270"/>
    </row>
    <row r="114" spans="1:11" s="242" customFormat="1" hidden="1" outlineLevel="3" x14ac:dyDescent="0.25">
      <c r="A114" s="302">
        <v>46478</v>
      </c>
      <c r="B114" s="247" t="str">
        <f>'целевые показатели'!B193</f>
        <v>установка дорожных знаков и нанесения дорожной разметки</v>
      </c>
      <c r="C114" s="280">
        <v>0</v>
      </c>
      <c r="D114" s="225">
        <v>0</v>
      </c>
      <c r="E114" s="225">
        <v>0</v>
      </c>
      <c r="F114" s="273">
        <v>0</v>
      </c>
      <c r="G114" s="300">
        <v>0</v>
      </c>
      <c r="H114" s="270" t="s">
        <v>158</v>
      </c>
      <c r="I114" s="270"/>
    </row>
    <row r="115" spans="1:11" hidden="1" outlineLevel="2" x14ac:dyDescent="0.25">
      <c r="A115" s="255" t="s">
        <v>272</v>
      </c>
      <c r="B115" s="243" t="s">
        <v>26</v>
      </c>
      <c r="C115" s="280">
        <v>0</v>
      </c>
      <c r="D115" s="225">
        <v>0</v>
      </c>
      <c r="E115" s="225">
        <v>0</v>
      </c>
      <c r="F115" s="225">
        <v>0</v>
      </c>
      <c r="G115" s="286">
        <v>0</v>
      </c>
    </row>
    <row r="116" spans="1:11" ht="31.5" outlineLevel="1" collapsed="1" x14ac:dyDescent="0.25">
      <c r="A116" s="255" t="s">
        <v>272</v>
      </c>
      <c r="B116" s="247" t="s">
        <v>55</v>
      </c>
      <c r="C116" s="280">
        <v>514.83924999999999</v>
      </c>
      <c r="D116" s="225">
        <v>0</v>
      </c>
      <c r="E116" s="225">
        <v>0</v>
      </c>
      <c r="F116" s="225">
        <v>0</v>
      </c>
      <c r="G116" s="286">
        <v>514.83924999999999</v>
      </c>
    </row>
    <row r="117" spans="1:11" ht="110.25" outlineLevel="1" x14ac:dyDescent="0.25">
      <c r="A117" s="217">
        <v>5</v>
      </c>
      <c r="B117" s="303" t="s">
        <v>56</v>
      </c>
      <c r="C117" s="304">
        <f>'целевые показатели'!I203</f>
        <v>79600</v>
      </c>
      <c r="D117" s="276">
        <f>'целевые показатели'!I208</f>
        <v>6768.7</v>
      </c>
      <c r="E117" s="276">
        <v>0</v>
      </c>
      <c r="F117" s="305">
        <f>'целевые показатели'!I208</f>
        <v>6768.7</v>
      </c>
      <c r="G117" s="277">
        <v>0</v>
      </c>
      <c r="H117" s="208">
        <f>'целевые показатели'!I203</f>
        <v>79600</v>
      </c>
      <c r="J117" s="242"/>
    </row>
    <row r="118" spans="1:11" ht="47.25" outlineLevel="1" x14ac:dyDescent="0.25">
      <c r="A118" s="217">
        <v>7</v>
      </c>
      <c r="B118" s="219" t="s">
        <v>11</v>
      </c>
      <c r="C118" s="304">
        <f>SUM(C119:C125)</f>
        <v>7642.6256899999998</v>
      </c>
      <c r="D118" s="304">
        <f>SUM(D119:D125)</f>
        <v>0</v>
      </c>
      <c r="E118" s="304">
        <f>SUM(E119:E125)</f>
        <v>0</v>
      </c>
      <c r="F118" s="304">
        <f>SUM(F119:F125)</f>
        <v>0</v>
      </c>
      <c r="G118" s="306">
        <f>SUM(G119:G125)</f>
        <v>7642.6256899999998</v>
      </c>
      <c r="H118" s="208">
        <f>'целевые показатели'!I212</f>
        <v>7042.6256899999998</v>
      </c>
      <c r="J118" s="12"/>
      <c r="K118" s="12"/>
    </row>
    <row r="119" spans="1:11" ht="33" outlineLevel="1" x14ac:dyDescent="0.25">
      <c r="A119" s="222" t="s">
        <v>314</v>
      </c>
      <c r="B119" s="251" t="s">
        <v>156</v>
      </c>
      <c r="C119" s="224">
        <v>1758.8771999999999</v>
      </c>
      <c r="D119" s="273">
        <v>0</v>
      </c>
      <c r="E119" s="273">
        <v>0</v>
      </c>
      <c r="F119" s="273">
        <v>0</v>
      </c>
      <c r="G119" s="274">
        <v>1758.8771999999999</v>
      </c>
      <c r="H119" s="208" t="s">
        <v>158</v>
      </c>
      <c r="J119" s="207" t="s">
        <v>263</v>
      </c>
    </row>
    <row r="120" spans="1:11" ht="33" outlineLevel="1" x14ac:dyDescent="0.25">
      <c r="A120" s="222" t="s">
        <v>659</v>
      </c>
      <c r="B120" s="251" t="s">
        <v>251</v>
      </c>
      <c r="C120" s="224">
        <v>576.50667999999996</v>
      </c>
      <c r="D120" s="273">
        <v>0</v>
      </c>
      <c r="E120" s="273">
        <v>0</v>
      </c>
      <c r="F120" s="273">
        <v>0</v>
      </c>
      <c r="G120" s="274">
        <v>576.50667999999996</v>
      </c>
      <c r="H120" s="208" t="s">
        <v>158</v>
      </c>
      <c r="J120" s="207" t="s">
        <v>660</v>
      </c>
    </row>
    <row r="121" spans="1:11" ht="33" outlineLevel="1" x14ac:dyDescent="0.25">
      <c r="A121" s="222" t="s">
        <v>661</v>
      </c>
      <c r="B121" s="251" t="s">
        <v>252</v>
      </c>
      <c r="C121" s="224">
        <v>863.57280000000003</v>
      </c>
      <c r="D121" s="273">
        <v>0</v>
      </c>
      <c r="E121" s="273">
        <v>0</v>
      </c>
      <c r="F121" s="273">
        <v>0</v>
      </c>
      <c r="G121" s="274">
        <v>863.57280000000003</v>
      </c>
      <c r="H121" s="208" t="s">
        <v>158</v>
      </c>
      <c r="J121" s="12"/>
    </row>
    <row r="122" spans="1:11" ht="33" outlineLevel="1" x14ac:dyDescent="0.25">
      <c r="A122" s="222" t="s">
        <v>662</v>
      </c>
      <c r="B122" s="251" t="s">
        <v>312</v>
      </c>
      <c r="C122" s="224">
        <v>1361.5830000000001</v>
      </c>
      <c r="D122" s="273">
        <v>0</v>
      </c>
      <c r="E122" s="273">
        <v>0</v>
      </c>
      <c r="F122" s="273">
        <v>0</v>
      </c>
      <c r="G122" s="274">
        <v>1361.5830000000001</v>
      </c>
      <c r="J122" s="12"/>
    </row>
    <row r="123" spans="1:11" ht="66" outlineLevel="1" x14ac:dyDescent="0.25">
      <c r="A123" s="222" t="s">
        <v>643</v>
      </c>
      <c r="B123" s="251" t="s">
        <v>250</v>
      </c>
      <c r="C123" s="224">
        <v>600</v>
      </c>
      <c r="D123" s="273">
        <v>0</v>
      </c>
      <c r="E123" s="273">
        <v>0</v>
      </c>
      <c r="F123" s="273">
        <v>0</v>
      </c>
      <c r="G123" s="274">
        <v>600</v>
      </c>
      <c r="H123" s="208" t="s">
        <v>158</v>
      </c>
    </row>
    <row r="124" spans="1:11" ht="66" outlineLevel="1" x14ac:dyDescent="0.25">
      <c r="A124" s="222" t="s">
        <v>717</v>
      </c>
      <c r="B124" s="251" t="s">
        <v>390</v>
      </c>
      <c r="C124" s="224">
        <v>2443.9362099999998</v>
      </c>
      <c r="D124" s="273">
        <v>0</v>
      </c>
      <c r="E124" s="273">
        <v>0</v>
      </c>
      <c r="F124" s="273">
        <v>0</v>
      </c>
      <c r="G124" s="274">
        <v>2443.9362099999998</v>
      </c>
      <c r="H124" s="208" t="s">
        <v>158</v>
      </c>
    </row>
    <row r="125" spans="1:11" ht="16.5" outlineLevel="1" x14ac:dyDescent="0.25">
      <c r="A125" s="222" t="s">
        <v>644</v>
      </c>
      <c r="B125" s="251" t="s">
        <v>392</v>
      </c>
      <c r="C125" s="224">
        <v>38.149799999999999</v>
      </c>
      <c r="D125" s="273">
        <v>0</v>
      </c>
      <c r="E125" s="273">
        <v>0</v>
      </c>
      <c r="F125" s="273">
        <v>0</v>
      </c>
      <c r="G125" s="274">
        <v>38.149799999999999</v>
      </c>
      <c r="H125" s="208" t="s">
        <v>158</v>
      </c>
    </row>
    <row r="126" spans="1:11" s="307" customFormat="1" ht="16.5" customHeight="1" outlineLevel="1" x14ac:dyDescent="0.25">
      <c r="A126" s="217">
        <v>7</v>
      </c>
      <c r="B126" s="308" t="s">
        <v>138</v>
      </c>
      <c r="C126" s="309">
        <f>C127</f>
        <v>483049.76000999997</v>
      </c>
      <c r="D126" s="309">
        <f>D127</f>
        <v>377914.76000999997</v>
      </c>
      <c r="E126" s="309">
        <v>0</v>
      </c>
      <c r="F126" s="309">
        <f>F127</f>
        <v>100000</v>
      </c>
      <c r="G126" s="310">
        <f>G127</f>
        <v>5135</v>
      </c>
      <c r="H126" s="311">
        <f>'целевые показатели'!I232</f>
        <v>483049.76001000003</v>
      </c>
      <c r="I126" s="311"/>
    </row>
    <row r="127" spans="1:11" ht="16.5" customHeight="1" outlineLevel="1" x14ac:dyDescent="0.25">
      <c r="A127" s="222" t="s">
        <v>314</v>
      </c>
      <c r="B127" s="251" t="s">
        <v>76</v>
      </c>
      <c r="C127" s="224">
        <v>483049.76000999997</v>
      </c>
      <c r="D127" s="273">
        <v>377914.76000999997</v>
      </c>
      <c r="E127" s="273">
        <v>0</v>
      </c>
      <c r="F127" s="273">
        <v>100000</v>
      </c>
      <c r="G127" s="274">
        <v>5135</v>
      </c>
    </row>
    <row r="128" spans="1:11" ht="33" outlineLevel="1" x14ac:dyDescent="0.25">
      <c r="A128" s="217">
        <v>8</v>
      </c>
      <c r="B128" s="308" t="s">
        <v>294</v>
      </c>
      <c r="C128" s="309">
        <f>SUM(C129:C133)</f>
        <v>133136.90279652629</v>
      </c>
      <c r="D128" s="309">
        <f>SUM(D129:D133)</f>
        <v>0</v>
      </c>
      <c r="E128" s="309">
        <f>SUM(E129:E133)</f>
        <v>0</v>
      </c>
      <c r="F128" s="309">
        <f>SUM(F129:F133)</f>
        <v>126480.05765669997</v>
      </c>
      <c r="G128" s="310">
        <f>SUM(G129:G133)</f>
        <v>6656.8451398263178</v>
      </c>
      <c r="H128" s="208">
        <f>'целевые показатели'!I239</f>
        <v>133136.90280021049</v>
      </c>
      <c r="J128" s="12"/>
    </row>
    <row r="129" spans="1:15" ht="148.5" hidden="1" outlineLevel="1" x14ac:dyDescent="0.25">
      <c r="A129" s="255" t="s">
        <v>315</v>
      </c>
      <c r="B129" s="251" t="s">
        <v>663</v>
      </c>
      <c r="C129" s="224">
        <f>'целевые показатели'!I242</f>
        <v>0</v>
      </c>
      <c r="D129" s="273">
        <v>0</v>
      </c>
      <c r="E129" s="273"/>
      <c r="F129" s="225">
        <f>C129*0.95</f>
        <v>0</v>
      </c>
      <c r="G129" s="286">
        <f>C129-F129</f>
        <v>0</v>
      </c>
      <c r="J129" s="12"/>
    </row>
    <row r="130" spans="1:15" ht="33" outlineLevel="1" x14ac:dyDescent="0.25">
      <c r="A130" s="255" t="s">
        <v>315</v>
      </c>
      <c r="B130" s="251" t="s">
        <v>373</v>
      </c>
      <c r="C130" s="224">
        <f>'целевые показатели'!I243</f>
        <v>53978.952089999999</v>
      </c>
      <c r="D130" s="273">
        <v>0</v>
      </c>
      <c r="E130" s="273">
        <v>0</v>
      </c>
      <c r="F130" s="225">
        <f>C130*0.95</f>
        <v>51280.004485499994</v>
      </c>
      <c r="G130" s="286">
        <f>C130-F130</f>
        <v>2698.9476044999974</v>
      </c>
      <c r="J130" s="12"/>
      <c r="K130" s="12"/>
    </row>
    <row r="131" spans="1:15" ht="33" hidden="1" outlineLevel="1" x14ac:dyDescent="0.25">
      <c r="A131" s="255" t="s">
        <v>317</v>
      </c>
      <c r="B131" s="251" t="str">
        <f>'целевые показатели'!B245</f>
        <v>Капитальный ремонт улично-дорожной сети города Орла по ул. Кольцевая</v>
      </c>
      <c r="C131" s="224">
        <f>'целевые показатели'!I245</f>
        <v>0</v>
      </c>
      <c r="D131" s="273">
        <v>0</v>
      </c>
      <c r="E131" s="273"/>
      <c r="F131" s="225">
        <f>C131*0.95</f>
        <v>0</v>
      </c>
      <c r="G131" s="286">
        <f>C131-F131</f>
        <v>0</v>
      </c>
      <c r="J131" s="12"/>
      <c r="K131" s="12"/>
    </row>
    <row r="132" spans="1:15" s="312" customFormat="1" ht="33" hidden="1" outlineLevel="1" x14ac:dyDescent="0.25">
      <c r="A132" s="255" t="s">
        <v>316</v>
      </c>
      <c r="B132" s="313" t="str">
        <f>'целевые показатели'!B247</f>
        <v>Капитальный ремонт улично-дорожной сети города Орла по ул. Деповская</v>
      </c>
      <c r="C132" s="314">
        <f>'целевые показатели'!I247</f>
        <v>3.6841993278358132E-6</v>
      </c>
      <c r="D132" s="315">
        <v>0</v>
      </c>
      <c r="E132" s="315"/>
      <c r="F132" s="315">
        <f>C132*0.95</f>
        <v>3.4999893614440225E-6</v>
      </c>
      <c r="G132" s="316">
        <f>C132-F132</f>
        <v>1.8420996639179023E-7</v>
      </c>
      <c r="H132" s="317"/>
      <c r="I132" s="317"/>
      <c r="K132" s="318"/>
    </row>
    <row r="133" spans="1:15" s="242" customFormat="1" ht="16.5" outlineLevel="1" x14ac:dyDescent="0.25">
      <c r="A133" s="255" t="s">
        <v>317</v>
      </c>
      <c r="B133" s="250" t="str">
        <f>'целевые показатели'!B390</f>
        <v>незадействованный остаток</v>
      </c>
      <c r="C133" s="272">
        <f>'целевые показатели'!I390</f>
        <v>79157.950702842092</v>
      </c>
      <c r="D133" s="244">
        <v>0</v>
      </c>
      <c r="E133" s="244">
        <v>0</v>
      </c>
      <c r="F133" s="244">
        <f>C133*0.95</f>
        <v>75200.053167699982</v>
      </c>
      <c r="G133" s="319">
        <f>C133-F133</f>
        <v>3957.8975351421104</v>
      </c>
      <c r="H133" s="270"/>
      <c r="I133" s="270"/>
      <c r="K133" s="275"/>
    </row>
    <row r="134" spans="1:15" ht="18" customHeight="1" x14ac:dyDescent="0.25">
      <c r="A134" s="747" t="s">
        <v>18</v>
      </c>
      <c r="B134" s="748"/>
      <c r="C134" s="748"/>
      <c r="D134" s="748"/>
      <c r="E134" s="748"/>
      <c r="F134" s="748"/>
      <c r="G134" s="749"/>
      <c r="K134" s="12"/>
      <c r="O134" s="12">
        <f>1017757.4-F135</f>
        <v>1000.999995250022</v>
      </c>
    </row>
    <row r="135" spans="1:15" x14ac:dyDescent="0.25">
      <c r="A135" s="320">
        <v>1</v>
      </c>
      <c r="B135" s="219" t="s">
        <v>44</v>
      </c>
      <c r="C135" s="321">
        <f>SUM(C137:C148)</f>
        <v>1032029.6666714682</v>
      </c>
      <c r="D135" s="321">
        <f>SUM(D137:D148)</f>
        <v>0</v>
      </c>
      <c r="E135" s="321">
        <f>SUM(E137:E148)</f>
        <v>0</v>
      </c>
      <c r="F135" s="321">
        <f>SUM(F137:F148)</f>
        <v>1016756.4000047536</v>
      </c>
      <c r="G135" s="322">
        <f>SUM(G137:G148)</f>
        <v>15273.266666714633</v>
      </c>
      <c r="H135" s="208">
        <f>'целевые показатели'!J26</f>
        <v>1032029.6666714229</v>
      </c>
      <c r="I135" s="208">
        <f>774170700</f>
        <v>774170700</v>
      </c>
      <c r="K135" s="12"/>
      <c r="O135" s="207">
        <f>O134/99*100</f>
        <v>1011.1111063131536</v>
      </c>
    </row>
    <row r="136" spans="1:15" x14ac:dyDescent="0.25">
      <c r="A136" s="323" t="s">
        <v>45</v>
      </c>
      <c r="B136" s="223" t="s">
        <v>168</v>
      </c>
      <c r="C136" s="273">
        <v>734009.36356642307</v>
      </c>
      <c r="D136" s="281">
        <v>0</v>
      </c>
      <c r="E136" s="281">
        <v>0</v>
      </c>
      <c r="F136" s="273">
        <v>723399.29993080359</v>
      </c>
      <c r="G136" s="274">
        <v>10610.063635664625</v>
      </c>
      <c r="H136" s="270">
        <f>SUM(F135:G135)</f>
        <v>1032029.6666714683</v>
      </c>
      <c r="I136" s="324">
        <v>42477000</v>
      </c>
      <c r="K136" s="12"/>
      <c r="M136" s="12"/>
    </row>
    <row r="137" spans="1:15" x14ac:dyDescent="0.25">
      <c r="A137" s="229" t="s">
        <v>172</v>
      </c>
      <c r="B137" s="230" t="s">
        <v>169</v>
      </c>
      <c r="C137" s="231">
        <v>20000</v>
      </c>
      <c r="D137" s="325">
        <v>0</v>
      </c>
      <c r="E137" s="325">
        <v>0</v>
      </c>
      <c r="F137" s="326">
        <v>19800</v>
      </c>
      <c r="G137" s="327">
        <v>200</v>
      </c>
      <c r="H137" s="270">
        <f>H137-H135</f>
        <v>-2064059.33334284</v>
      </c>
      <c r="I137" s="208">
        <f>SUM(I135:I137)</f>
        <v>1633295400</v>
      </c>
      <c r="J137" s="207" t="s">
        <v>512</v>
      </c>
      <c r="K137" s="12"/>
    </row>
    <row r="138" spans="1:15" ht="31.5" x14ac:dyDescent="0.25">
      <c r="A138" s="229" t="s">
        <v>173</v>
      </c>
      <c r="B138" s="230" t="s">
        <v>178</v>
      </c>
      <c r="C138" s="231">
        <v>100873.39939999999</v>
      </c>
      <c r="D138" s="325">
        <v>0</v>
      </c>
      <c r="E138" s="325">
        <v>0</v>
      </c>
      <c r="F138" s="326">
        <v>99864.665406</v>
      </c>
      <c r="G138" s="327">
        <v>1008.7339939999947</v>
      </c>
      <c r="I138" s="328">
        <f>717737700+2005200</f>
        <v>719742900</v>
      </c>
      <c r="J138" s="329">
        <v>718742885.70000005</v>
      </c>
      <c r="K138" s="12"/>
    </row>
    <row r="139" spans="1:15" ht="31.5" x14ac:dyDescent="0.25">
      <c r="A139" s="229" t="s">
        <v>174</v>
      </c>
      <c r="B139" s="230" t="s">
        <v>170</v>
      </c>
      <c r="C139" s="231">
        <v>8570.6262054500003</v>
      </c>
      <c r="D139" s="325">
        <v>0</v>
      </c>
      <c r="E139" s="325">
        <v>0</v>
      </c>
      <c r="F139" s="326">
        <v>8484.9199433955</v>
      </c>
      <c r="G139" s="327">
        <v>85.706262054500257</v>
      </c>
      <c r="H139" s="330"/>
      <c r="I139" s="208">
        <v>82300000</v>
      </c>
      <c r="J139" s="213" t="s">
        <v>522</v>
      </c>
      <c r="K139" s="213"/>
    </row>
    <row r="140" spans="1:15" s="242" customFormat="1" ht="31.5" x14ac:dyDescent="0.25">
      <c r="A140" s="331" t="s">
        <v>175</v>
      </c>
      <c r="B140" s="236" t="s">
        <v>410</v>
      </c>
      <c r="C140" s="332">
        <v>2300</v>
      </c>
      <c r="D140" s="333">
        <v>0</v>
      </c>
      <c r="E140" s="333">
        <v>0</v>
      </c>
      <c r="F140" s="334">
        <v>0</v>
      </c>
      <c r="G140" s="335">
        <v>2300</v>
      </c>
      <c r="H140" s="270" t="s">
        <v>158</v>
      </c>
      <c r="I140" s="270">
        <f>J138+I139</f>
        <v>801042885.70000005</v>
      </c>
      <c r="J140" s="241" t="s">
        <v>664</v>
      </c>
      <c r="K140" s="241"/>
    </row>
    <row r="141" spans="1:15" s="242" customFormat="1" ht="63" x14ac:dyDescent="0.25">
      <c r="A141" s="331" t="s">
        <v>389</v>
      </c>
      <c r="B141" s="336" t="s">
        <v>421</v>
      </c>
      <c r="C141" s="332">
        <v>1003</v>
      </c>
      <c r="D141" s="333">
        <v>0</v>
      </c>
      <c r="E141" s="333">
        <v>0</v>
      </c>
      <c r="F141" s="334">
        <v>0</v>
      </c>
      <c r="G141" s="335">
        <v>1003</v>
      </c>
      <c r="H141" s="270" t="s">
        <v>158</v>
      </c>
      <c r="I141" s="270"/>
      <c r="J141" s="337"/>
      <c r="K141" s="275"/>
    </row>
    <row r="142" spans="1:15" x14ac:dyDescent="0.25">
      <c r="A142" s="229" t="s">
        <v>665</v>
      </c>
      <c r="B142" s="230" t="s">
        <v>171</v>
      </c>
      <c r="C142" s="231">
        <v>601262.3379610182</v>
      </c>
      <c r="D142" s="325">
        <v>0</v>
      </c>
      <c r="E142" s="325">
        <v>0</v>
      </c>
      <c r="F142" s="326">
        <v>595249.71458140807</v>
      </c>
      <c r="G142" s="327">
        <v>6012.6233796101296</v>
      </c>
      <c r="H142" s="338"/>
      <c r="I142" s="339"/>
      <c r="K142" s="12"/>
    </row>
    <row r="143" spans="1:15" x14ac:dyDescent="0.25">
      <c r="A143" s="323" t="s">
        <v>46</v>
      </c>
      <c r="B143" s="223" t="s">
        <v>23</v>
      </c>
      <c r="C143" s="273">
        <v>44974.949495000001</v>
      </c>
      <c r="D143" s="281">
        <v>0</v>
      </c>
      <c r="E143" s="281">
        <v>0</v>
      </c>
      <c r="F143" s="273">
        <v>44525.200000049997</v>
      </c>
      <c r="G143" s="274">
        <v>449.74949495000328</v>
      </c>
      <c r="K143" s="12"/>
    </row>
    <row r="144" spans="1:15" ht="78.75" x14ac:dyDescent="0.25">
      <c r="A144" s="323" t="s">
        <v>47</v>
      </c>
      <c r="B144" s="223" t="s">
        <v>465</v>
      </c>
      <c r="C144" s="273">
        <v>116193.90360000001</v>
      </c>
      <c r="D144" s="281">
        <v>0</v>
      </c>
      <c r="E144" s="281">
        <v>0</v>
      </c>
      <c r="F144" s="273">
        <v>115031.96456400001</v>
      </c>
      <c r="G144" s="274">
        <v>1161.9390359999961</v>
      </c>
      <c r="I144" s="340"/>
      <c r="J144" s="12"/>
      <c r="K144" s="12"/>
    </row>
    <row r="145" spans="1:12" ht="35.25" customHeight="1" x14ac:dyDescent="0.25">
      <c r="A145" s="323" t="s">
        <v>48</v>
      </c>
      <c r="B145" s="243" t="s">
        <v>224</v>
      </c>
      <c r="C145" s="273">
        <v>35353.535349999998</v>
      </c>
      <c r="D145" s="281">
        <v>0</v>
      </c>
      <c r="E145" s="281">
        <v>0</v>
      </c>
      <c r="F145" s="273">
        <v>34999.999996499995</v>
      </c>
      <c r="G145" s="274">
        <v>353.53535350000311</v>
      </c>
      <c r="K145" s="12"/>
    </row>
    <row r="146" spans="1:12" ht="31.5" x14ac:dyDescent="0.25">
      <c r="A146" s="323" t="s">
        <v>49</v>
      </c>
      <c r="B146" s="243" t="s">
        <v>25</v>
      </c>
      <c r="C146" s="273">
        <v>32050.50505</v>
      </c>
      <c r="D146" s="281">
        <v>0</v>
      </c>
      <c r="E146" s="281">
        <v>0</v>
      </c>
      <c r="F146" s="273">
        <v>31729.9999995</v>
      </c>
      <c r="G146" s="274">
        <v>320.50505049999992</v>
      </c>
      <c r="K146" s="12"/>
    </row>
    <row r="147" spans="1:12" x14ac:dyDescent="0.25">
      <c r="A147" s="323" t="s">
        <v>155</v>
      </c>
      <c r="B147" s="243" t="s">
        <v>154</v>
      </c>
      <c r="C147" s="273">
        <v>1700</v>
      </c>
      <c r="D147" s="281">
        <v>0</v>
      </c>
      <c r="E147" s="281">
        <v>0</v>
      </c>
      <c r="F147" s="273">
        <v>0</v>
      </c>
      <c r="G147" s="269">
        <v>1700</v>
      </c>
      <c r="H147" s="270" t="s">
        <v>158</v>
      </c>
      <c r="K147" s="12"/>
    </row>
    <row r="148" spans="1:12" x14ac:dyDescent="0.25">
      <c r="A148" s="323" t="s">
        <v>189</v>
      </c>
      <c r="B148" s="243" t="str">
        <f>'целевые показатели'!B34</f>
        <v>кредиторская задолженность предыдущих лет</v>
      </c>
      <c r="C148" s="273">
        <v>67747.409610000002</v>
      </c>
      <c r="D148" s="281">
        <v>0</v>
      </c>
      <c r="E148" s="281">
        <v>0</v>
      </c>
      <c r="F148" s="273">
        <v>67069.935513899996</v>
      </c>
      <c r="G148" s="274">
        <v>677.47409610000614</v>
      </c>
      <c r="K148" s="12"/>
    </row>
    <row r="149" spans="1:12" ht="31.5" x14ac:dyDescent="0.25">
      <c r="A149" s="320">
        <v>2</v>
      </c>
      <c r="B149" s="219" t="s">
        <v>15</v>
      </c>
      <c r="C149" s="305">
        <f>SUM(C150:C182)</f>
        <v>47381.027369999923</v>
      </c>
      <c r="D149" s="305">
        <f>SUM(D181:D182)</f>
        <v>0</v>
      </c>
      <c r="E149" s="305">
        <f>SUM(E181:E182)</f>
        <v>0</v>
      </c>
      <c r="F149" s="305">
        <f>SUM(F150:F182)</f>
        <v>45620.21709630001</v>
      </c>
      <c r="G149" s="341">
        <f>SUM(G150:G182)</f>
        <v>1760.8102736999981</v>
      </c>
      <c r="H149" s="208">
        <f>'целевые показатели'!J41</f>
        <v>47381.027370000003</v>
      </c>
      <c r="J149" s="12"/>
      <c r="K149" s="12">
        <f>F149+F199</f>
        <v>358334.67801779998</v>
      </c>
      <c r="L149" s="207">
        <v>407277.5</v>
      </c>
    </row>
    <row r="150" spans="1:12" ht="16.5" x14ac:dyDescent="0.25">
      <c r="A150" s="342" t="s">
        <v>159</v>
      </c>
      <c r="B150" s="251" t="s">
        <v>153</v>
      </c>
      <c r="C150" s="343">
        <v>9370.0302800000009</v>
      </c>
      <c r="D150" s="343">
        <v>0</v>
      </c>
      <c r="E150" s="343">
        <v>0</v>
      </c>
      <c r="F150" s="343">
        <v>9276.3299772000009</v>
      </c>
      <c r="G150" s="344">
        <v>93.700302799999918</v>
      </c>
      <c r="J150" s="12"/>
      <c r="K150" s="12">
        <v>377804.08205000003</v>
      </c>
      <c r="L150" s="12">
        <f>L149-K149</f>
        <v>48942.821982200025</v>
      </c>
    </row>
    <row r="151" spans="1:12" ht="16.5" x14ac:dyDescent="0.25">
      <c r="A151" s="323" t="s">
        <v>160</v>
      </c>
      <c r="B151" s="250" t="s">
        <v>474</v>
      </c>
      <c r="C151" s="343">
        <v>33160</v>
      </c>
      <c r="D151" s="343">
        <v>0</v>
      </c>
      <c r="E151" s="343">
        <v>0</v>
      </c>
      <c r="F151" s="343">
        <v>32828.400000000001</v>
      </c>
      <c r="G151" s="344">
        <v>331.59999999999854</v>
      </c>
      <c r="J151" s="12"/>
      <c r="K151" s="12">
        <f>K149-K150</f>
        <v>-19469.404032200051</v>
      </c>
    </row>
    <row r="152" spans="1:12" ht="33" x14ac:dyDescent="0.25">
      <c r="A152" s="323" t="s">
        <v>161</v>
      </c>
      <c r="B152" s="251" t="s">
        <v>446</v>
      </c>
      <c r="C152" s="343">
        <v>212.51168000000001</v>
      </c>
      <c r="D152" s="343">
        <v>0</v>
      </c>
      <c r="E152" s="343">
        <v>0</v>
      </c>
      <c r="F152" s="343">
        <v>0</v>
      </c>
      <c r="G152" s="345">
        <v>212.51168000000001</v>
      </c>
      <c r="H152" s="270" t="s">
        <v>158</v>
      </c>
      <c r="J152" s="12"/>
      <c r="K152" s="12">
        <f>431032.97772-K149</f>
        <v>72698.299702200049</v>
      </c>
    </row>
    <row r="153" spans="1:12" ht="33" x14ac:dyDescent="0.25">
      <c r="A153" s="323" t="s">
        <v>162</v>
      </c>
      <c r="B153" s="251" t="str">
        <f>'целевые показатели'!B75</f>
        <v>Ремонт ул.Комсомольская (элементы обустройства автомобильных дорог)</v>
      </c>
      <c r="C153" s="343">
        <v>77.045190000000005</v>
      </c>
      <c r="D153" s="343">
        <v>0</v>
      </c>
      <c r="E153" s="343">
        <v>0</v>
      </c>
      <c r="F153" s="343">
        <v>76.274738100000008</v>
      </c>
      <c r="G153" s="345">
        <v>0.77045189999999764</v>
      </c>
      <c r="H153" s="270"/>
      <c r="J153" s="12"/>
      <c r="K153" s="12"/>
    </row>
    <row r="154" spans="1:12" ht="33" x14ac:dyDescent="0.25">
      <c r="A154" s="323" t="s">
        <v>445</v>
      </c>
      <c r="B154" s="251" t="str">
        <f>'целевые показатели'!B76</f>
        <v>Ремонт ул. Октябрьская (элементы обустройства автомобильных дорог)</v>
      </c>
      <c r="C154" s="343">
        <v>25.681730000000002</v>
      </c>
      <c r="D154" s="343">
        <v>0</v>
      </c>
      <c r="E154" s="343">
        <v>0</v>
      </c>
      <c r="F154" s="343">
        <v>25.4249127</v>
      </c>
      <c r="G154" s="344">
        <v>0.25681730000000158</v>
      </c>
      <c r="H154" s="270"/>
      <c r="J154" s="12"/>
      <c r="K154" s="12"/>
    </row>
    <row r="155" spans="1:12" ht="33" x14ac:dyDescent="0.25">
      <c r="A155" s="323" t="s">
        <v>163</v>
      </c>
      <c r="B155" s="251" t="s">
        <v>333</v>
      </c>
      <c r="C155" s="343">
        <v>410.90768000000003</v>
      </c>
      <c r="D155" s="343">
        <v>0</v>
      </c>
      <c r="E155" s="343">
        <v>0</v>
      </c>
      <c r="F155" s="343">
        <v>406.7986032</v>
      </c>
      <c r="G155" s="344">
        <v>4.1090768000000253</v>
      </c>
      <c r="H155" s="270"/>
      <c r="J155" s="12"/>
      <c r="K155" s="12"/>
    </row>
    <row r="156" spans="1:12" ht="33" x14ac:dyDescent="0.25">
      <c r="A156" s="323" t="s">
        <v>164</v>
      </c>
      <c r="B156" s="251" t="str">
        <f>'целевые показатели'!B90</f>
        <v>Ремонт Новосильское шоссе (элементы обустройства автомобильных дорог)</v>
      </c>
      <c r="C156" s="343">
        <v>25.681730000000002</v>
      </c>
      <c r="D156" s="343">
        <v>0</v>
      </c>
      <c r="E156" s="343">
        <v>0</v>
      </c>
      <c r="F156" s="343">
        <v>25.4249127</v>
      </c>
      <c r="G156" s="344">
        <v>0.25681730000000158</v>
      </c>
      <c r="H156" s="270"/>
      <c r="J156" s="12"/>
      <c r="K156" s="12"/>
    </row>
    <row r="157" spans="1:12" ht="33" x14ac:dyDescent="0.25">
      <c r="A157" s="323" t="s">
        <v>165</v>
      </c>
      <c r="B157" s="251" t="str">
        <f>'целевые показатели'!B91</f>
        <v>Ремонт ул. Ливенская (элементы обустройства автомобильных дорог)</v>
      </c>
      <c r="C157" s="343">
        <v>25.681730000000002</v>
      </c>
      <c r="D157" s="343">
        <v>0</v>
      </c>
      <c r="E157" s="343">
        <v>0</v>
      </c>
      <c r="F157" s="343">
        <v>25.4249127</v>
      </c>
      <c r="G157" s="344">
        <v>0.25681730000000158</v>
      </c>
      <c r="H157" s="270"/>
      <c r="J157" s="12"/>
      <c r="K157" s="12"/>
    </row>
    <row r="158" spans="1:12" ht="33" x14ac:dyDescent="0.25">
      <c r="A158" s="323" t="s">
        <v>166</v>
      </c>
      <c r="B158" s="251" t="s">
        <v>334</v>
      </c>
      <c r="C158" s="343">
        <v>436.58941000000004</v>
      </c>
      <c r="D158" s="343">
        <v>0</v>
      </c>
      <c r="E158" s="343">
        <v>0</v>
      </c>
      <c r="F158" s="343">
        <v>432.22351590000005</v>
      </c>
      <c r="G158" s="344">
        <v>4.3658940999999913</v>
      </c>
      <c r="H158" s="270"/>
      <c r="J158" s="12"/>
      <c r="K158" s="12"/>
    </row>
    <row r="159" spans="1:12" ht="33" x14ac:dyDescent="0.25">
      <c r="A159" s="323" t="s">
        <v>431</v>
      </c>
      <c r="B159" s="251" t="s">
        <v>338</v>
      </c>
      <c r="C159" s="343">
        <v>25.681730000000002</v>
      </c>
      <c r="D159" s="343">
        <v>0</v>
      </c>
      <c r="E159" s="343">
        <v>0</v>
      </c>
      <c r="F159" s="343">
        <v>25.4249127</v>
      </c>
      <c r="G159" s="344">
        <v>0.25681730000000158</v>
      </c>
      <c r="H159" s="270"/>
      <c r="J159" s="12"/>
      <c r="K159" s="12"/>
    </row>
    <row r="160" spans="1:12" ht="33" x14ac:dyDescent="0.25">
      <c r="A160" s="323" t="s">
        <v>454</v>
      </c>
      <c r="B160" s="251" t="s">
        <v>339</v>
      </c>
      <c r="C160" s="343">
        <v>102.72692000000001</v>
      </c>
      <c r="D160" s="343">
        <v>0</v>
      </c>
      <c r="E160" s="343">
        <v>0</v>
      </c>
      <c r="F160" s="343">
        <v>101.6996508</v>
      </c>
      <c r="G160" s="344">
        <v>1.0272692000000063</v>
      </c>
      <c r="H160" s="270"/>
      <c r="J160" s="12"/>
      <c r="K160" s="12"/>
    </row>
    <row r="161" spans="1:11" ht="33" x14ac:dyDescent="0.25">
      <c r="A161" s="323" t="s">
        <v>455</v>
      </c>
      <c r="B161" s="251" t="s">
        <v>341</v>
      </c>
      <c r="C161" s="343">
        <v>25.681730000000002</v>
      </c>
      <c r="D161" s="343">
        <v>0</v>
      </c>
      <c r="E161" s="343">
        <v>0</v>
      </c>
      <c r="F161" s="343">
        <v>25.4249127</v>
      </c>
      <c r="G161" s="344">
        <v>0.25681730000000158</v>
      </c>
      <c r="H161" s="270"/>
      <c r="J161" s="12"/>
      <c r="K161" s="12"/>
    </row>
    <row r="162" spans="1:11" ht="33" x14ac:dyDescent="0.25">
      <c r="A162" s="323" t="s">
        <v>456</v>
      </c>
      <c r="B162" s="251" t="s">
        <v>340</v>
      </c>
      <c r="C162" s="343">
        <v>25.681730000000002</v>
      </c>
      <c r="D162" s="343">
        <v>0</v>
      </c>
      <c r="E162" s="343">
        <v>0</v>
      </c>
      <c r="F162" s="343">
        <v>25.4249127</v>
      </c>
      <c r="G162" s="344">
        <v>0.25681730000000158</v>
      </c>
      <c r="H162" s="270"/>
      <c r="J162" s="12"/>
      <c r="K162" s="12"/>
    </row>
    <row r="163" spans="1:11" ht="33" x14ac:dyDescent="0.25">
      <c r="A163" s="323" t="s">
        <v>457</v>
      </c>
      <c r="B163" s="251" t="str">
        <f>'целевые показатели'!B92</f>
        <v>Ремонт ул. Паровозная (элементы обустройства автомобильных дорог)</v>
      </c>
      <c r="C163" s="343">
        <v>51.363460000000003</v>
      </c>
      <c r="D163" s="343">
        <v>0</v>
      </c>
      <c r="E163" s="343">
        <v>0</v>
      </c>
      <c r="F163" s="343">
        <v>50.8498254</v>
      </c>
      <c r="G163" s="344">
        <v>0.51363460000000316</v>
      </c>
      <c r="H163" s="270"/>
      <c r="J163" s="12"/>
      <c r="K163" s="12"/>
    </row>
    <row r="164" spans="1:11" ht="33" x14ac:dyDescent="0.25">
      <c r="A164" s="323" t="s">
        <v>458</v>
      </c>
      <c r="B164" s="251" t="s">
        <v>448</v>
      </c>
      <c r="C164" s="343">
        <v>179.77211</v>
      </c>
      <c r="D164" s="343">
        <v>0</v>
      </c>
      <c r="E164" s="343">
        <v>0</v>
      </c>
      <c r="F164" s="343">
        <v>177.97438890000001</v>
      </c>
      <c r="G164" s="344">
        <v>1.7977210999999897</v>
      </c>
      <c r="H164" s="270"/>
      <c r="J164" s="12"/>
      <c r="K164" s="12"/>
    </row>
    <row r="165" spans="1:11" ht="33" x14ac:dyDescent="0.25">
      <c r="A165" s="323" t="s">
        <v>459</v>
      </c>
      <c r="B165" s="251" t="s">
        <v>449</v>
      </c>
      <c r="C165" s="343">
        <v>77.045190000000005</v>
      </c>
      <c r="D165" s="343">
        <v>0</v>
      </c>
      <c r="E165" s="343">
        <v>0</v>
      </c>
      <c r="F165" s="343">
        <v>76.274738100000008</v>
      </c>
      <c r="G165" s="344">
        <v>0.77045189999999764</v>
      </c>
      <c r="H165" s="270"/>
      <c r="J165" s="12"/>
      <c r="K165" s="12"/>
    </row>
    <row r="166" spans="1:11" ht="33" x14ac:dyDescent="0.25">
      <c r="A166" s="323" t="s">
        <v>469</v>
      </c>
      <c r="B166" s="251" t="s">
        <v>450</v>
      </c>
      <c r="C166" s="343">
        <v>25.681730000000002</v>
      </c>
      <c r="D166" s="343">
        <v>0</v>
      </c>
      <c r="E166" s="343">
        <v>0</v>
      </c>
      <c r="F166" s="343">
        <v>25.4249127</v>
      </c>
      <c r="G166" s="344">
        <v>0.25681730000000158</v>
      </c>
      <c r="J166" s="12"/>
      <c r="K166" s="12"/>
    </row>
    <row r="167" spans="1:11" ht="33" x14ac:dyDescent="0.25">
      <c r="A167" s="323" t="s">
        <v>470</v>
      </c>
      <c r="B167" s="251" t="s">
        <v>453</v>
      </c>
      <c r="C167" s="343">
        <v>25.681730000000002</v>
      </c>
      <c r="D167" s="343">
        <v>0</v>
      </c>
      <c r="E167" s="343">
        <v>0</v>
      </c>
      <c r="F167" s="343">
        <v>25.4249127</v>
      </c>
      <c r="G167" s="344">
        <v>0.25681730000000158</v>
      </c>
      <c r="J167" s="12"/>
      <c r="K167" s="12"/>
    </row>
    <row r="168" spans="1:11" ht="33" x14ac:dyDescent="0.25">
      <c r="A168" s="323" t="s">
        <v>472</v>
      </c>
      <c r="B168" s="251" t="s">
        <v>451</v>
      </c>
      <c r="C168" s="343">
        <v>25.681730000000002</v>
      </c>
      <c r="D168" s="343">
        <v>0</v>
      </c>
      <c r="E168" s="343">
        <v>0</v>
      </c>
      <c r="F168" s="343">
        <v>25.4249127</v>
      </c>
      <c r="G168" s="344">
        <v>0.25681730000000158</v>
      </c>
      <c r="J168" s="12"/>
      <c r="K168" s="12"/>
    </row>
    <row r="169" spans="1:11" ht="33" x14ac:dyDescent="0.25">
      <c r="A169" s="323" t="s">
        <v>473</v>
      </c>
      <c r="B169" s="251" t="s">
        <v>666</v>
      </c>
      <c r="C169" s="343">
        <v>25.681730000000002</v>
      </c>
      <c r="D169" s="343">
        <v>0</v>
      </c>
      <c r="E169" s="343">
        <v>0</v>
      </c>
      <c r="F169" s="343">
        <v>25.4249127</v>
      </c>
      <c r="G169" s="344">
        <v>0.25681730000000158</v>
      </c>
      <c r="J169" s="12"/>
      <c r="K169" s="12"/>
    </row>
    <row r="170" spans="1:11" ht="33" x14ac:dyDescent="0.25">
      <c r="A170" s="323" t="s">
        <v>475</v>
      </c>
      <c r="B170" s="251" t="str">
        <f>'целевые показатели'!B100</f>
        <v>Ремонт ул.Городская (элементы обустройства автомобильных дорог)</v>
      </c>
      <c r="C170" s="343">
        <v>25.681730000000002</v>
      </c>
      <c r="D170" s="343">
        <v>0</v>
      </c>
      <c r="E170" s="343">
        <v>0</v>
      </c>
      <c r="F170" s="343">
        <v>25.4249127</v>
      </c>
      <c r="G170" s="344">
        <v>0.25681730000000158</v>
      </c>
      <c r="J170" s="12"/>
      <c r="K170" s="12"/>
    </row>
    <row r="171" spans="1:11" ht="33" x14ac:dyDescent="0.25">
      <c r="A171" s="323" t="s">
        <v>477</v>
      </c>
      <c r="B171" s="251" t="str">
        <f>'целевые показатели'!B101</f>
        <v>Ремонт ул.1-я Курская (элементы обустройства автомобильных дорог)</v>
      </c>
      <c r="C171" s="343">
        <v>77.045190000000005</v>
      </c>
      <c r="D171" s="343">
        <v>0</v>
      </c>
      <c r="E171" s="343">
        <v>0</v>
      </c>
      <c r="F171" s="343">
        <v>76.274738100000008</v>
      </c>
      <c r="G171" s="344">
        <v>0.77045189999999764</v>
      </c>
      <c r="J171" s="12"/>
      <c r="K171" s="12"/>
    </row>
    <row r="172" spans="1:11" ht="33" customHeight="1" x14ac:dyDescent="0.25">
      <c r="A172" s="323" t="s">
        <v>480</v>
      </c>
      <c r="B172" s="251" t="str">
        <f>'целевые показатели'!B102</f>
        <v>Ремонт ул. Садово-Пушкарная (сквер "Комсомольцев") (элементы обустройства автомобильных дорог)</v>
      </c>
      <c r="C172" s="343">
        <v>25.681730000000002</v>
      </c>
      <c r="D172" s="343">
        <v>0</v>
      </c>
      <c r="E172" s="343">
        <v>0</v>
      </c>
      <c r="F172" s="343">
        <v>25.4249127</v>
      </c>
      <c r="G172" s="344">
        <v>0.25681730000000158</v>
      </c>
      <c r="J172" s="12"/>
      <c r="K172" s="12"/>
    </row>
    <row r="173" spans="1:11" ht="33" customHeight="1" x14ac:dyDescent="0.25">
      <c r="A173" s="323" t="s">
        <v>481</v>
      </c>
      <c r="B173" s="251" t="str">
        <f>'целевые показатели'!B103</f>
        <v>Ремонт ул. Скворцова (элементы обустройства автомобильных дорог)</v>
      </c>
      <c r="C173" s="343">
        <v>25.681730000000002</v>
      </c>
      <c r="D173" s="343">
        <v>0</v>
      </c>
      <c r="E173" s="343">
        <v>0</v>
      </c>
      <c r="F173" s="343">
        <v>25.4249127</v>
      </c>
      <c r="G173" s="344">
        <v>0.25681730000000158</v>
      </c>
      <c r="J173" s="12"/>
      <c r="K173" s="12"/>
    </row>
    <row r="174" spans="1:11" ht="33" customHeight="1" x14ac:dyDescent="0.25">
      <c r="A174" s="323" t="s">
        <v>483</v>
      </c>
      <c r="B174" s="251" t="str">
        <f>'целевые показатели'!B105</f>
        <v>Ремонт ул.Полярная (элементы обустройства автомобильных дорог)</v>
      </c>
      <c r="C174" s="343">
        <v>51.363460000000003</v>
      </c>
      <c r="D174" s="343">
        <v>0</v>
      </c>
      <c r="E174" s="343">
        <v>0</v>
      </c>
      <c r="F174" s="343">
        <v>50.8498254</v>
      </c>
      <c r="G174" s="344">
        <v>0.51363460000000316</v>
      </c>
      <c r="J174" s="12"/>
      <c r="K174" s="12"/>
    </row>
    <row r="175" spans="1:11" ht="33" x14ac:dyDescent="0.25">
      <c r="A175" s="323" t="s">
        <v>485</v>
      </c>
      <c r="B175" s="251" t="str">
        <f>'целевые показатели'!B105</f>
        <v>Ремонт ул.Полярная (элементы обустройства автомобильных дорог)</v>
      </c>
      <c r="C175" s="343">
        <v>51.363460000000003</v>
      </c>
      <c r="D175" s="343">
        <v>0</v>
      </c>
      <c r="E175" s="343">
        <v>0</v>
      </c>
      <c r="F175" s="343">
        <v>50.8498254</v>
      </c>
      <c r="G175" s="344">
        <v>0.51363460000000316</v>
      </c>
      <c r="H175" s="270"/>
      <c r="J175" s="12"/>
      <c r="K175" s="12"/>
    </row>
    <row r="176" spans="1:11" ht="33" x14ac:dyDescent="0.25">
      <c r="A176" s="323" t="s">
        <v>505</v>
      </c>
      <c r="B176" s="251" t="str">
        <f>'целевые показатели'!B106</f>
        <v>Ремонт ул.Левый Берег реки Орлик "ТРУД" (элементы обустройства автомобильных дорог)</v>
      </c>
      <c r="C176" s="343">
        <v>25.681730000000002</v>
      </c>
      <c r="D176" s="343">
        <v>0</v>
      </c>
      <c r="E176" s="343">
        <v>0</v>
      </c>
      <c r="F176" s="343">
        <v>25.4249127</v>
      </c>
      <c r="G176" s="344">
        <v>0.25681730000000158</v>
      </c>
      <c r="H176" s="270"/>
      <c r="J176" s="12"/>
      <c r="K176" s="12"/>
    </row>
    <row r="177" spans="1:12" ht="33" x14ac:dyDescent="0.25">
      <c r="A177" s="323" t="s">
        <v>506</v>
      </c>
      <c r="B177" s="251" t="str">
        <f>'целевые показатели'!B107</f>
        <v>Ремонт Старомосковское шоссе (элементы обустройства автомобильных дорог)</v>
      </c>
      <c r="C177" s="343">
        <v>25.681730000000002</v>
      </c>
      <c r="D177" s="343">
        <v>0</v>
      </c>
      <c r="E177" s="343">
        <v>0</v>
      </c>
      <c r="F177" s="343">
        <v>25.4249127</v>
      </c>
      <c r="G177" s="344">
        <v>0.25681730000000158</v>
      </c>
      <c r="H177" s="270"/>
      <c r="J177" s="12"/>
      <c r="K177" s="12"/>
    </row>
    <row r="178" spans="1:12" ht="33" x14ac:dyDescent="0.25">
      <c r="A178" s="323" t="s">
        <v>507</v>
      </c>
      <c r="B178" s="251" t="str">
        <f>'целевые показатели'!B108</f>
        <v>Ремонт ул.Игнатова (элементы обустройства автомобильных дорог)</v>
      </c>
      <c r="C178" s="343">
        <v>25.681730000000002</v>
      </c>
      <c r="D178" s="343">
        <v>0</v>
      </c>
      <c r="E178" s="343">
        <v>0</v>
      </c>
      <c r="F178" s="343">
        <v>25.4249127</v>
      </c>
      <c r="G178" s="344">
        <v>0.25681730000000158</v>
      </c>
      <c r="H178" s="270"/>
      <c r="J178" s="12"/>
      <c r="K178" s="12"/>
    </row>
    <row r="179" spans="1:12" ht="33" x14ac:dyDescent="0.25">
      <c r="A179" s="323" t="s">
        <v>508</v>
      </c>
      <c r="B179" s="251" t="str">
        <f>'целевые показатели'!B109</f>
        <v>Ремонт пл.Богоявленской (элементы обустройства автомобильных дорог)</v>
      </c>
      <c r="C179" s="343">
        <v>25.681730000000002</v>
      </c>
      <c r="D179" s="343">
        <v>0</v>
      </c>
      <c r="E179" s="343">
        <v>0</v>
      </c>
      <c r="F179" s="343">
        <v>25.4249127</v>
      </c>
      <c r="G179" s="344">
        <v>0.25681730000000158</v>
      </c>
      <c r="H179" s="270"/>
      <c r="J179" s="12"/>
      <c r="K179" s="12"/>
    </row>
    <row r="180" spans="1:12" ht="33" x14ac:dyDescent="0.25">
      <c r="A180" s="323" t="s">
        <v>509</v>
      </c>
      <c r="B180" s="251" t="str">
        <f>'целевые показатели'!B110</f>
        <v>Ремонт ул.Гуртьева (элементы обустройства автомобильных дорог)</v>
      </c>
      <c r="C180" s="343">
        <v>25.681730000000002</v>
      </c>
      <c r="D180" s="343">
        <v>0</v>
      </c>
      <c r="E180" s="343">
        <v>0</v>
      </c>
      <c r="F180" s="343">
        <v>25.4249127</v>
      </c>
      <c r="G180" s="344">
        <v>0.25681730000000158</v>
      </c>
      <c r="H180" s="270"/>
      <c r="I180" s="208">
        <v>431033</v>
      </c>
      <c r="J180" s="12"/>
      <c r="K180" s="12"/>
    </row>
    <row r="181" spans="1:12" ht="21" customHeight="1" x14ac:dyDescent="0.25">
      <c r="A181" s="323" t="s">
        <v>510</v>
      </c>
      <c r="B181" s="243" t="s">
        <v>466</v>
      </c>
      <c r="C181" s="273">
        <v>1573.50388</v>
      </c>
      <c r="D181" s="273">
        <v>0</v>
      </c>
      <c r="E181" s="343">
        <v>0</v>
      </c>
      <c r="F181" s="343">
        <v>1557.7688412</v>
      </c>
      <c r="G181" s="346">
        <v>15.735038799999984</v>
      </c>
      <c r="H181" s="252" t="s">
        <v>408</v>
      </c>
      <c r="I181" s="208">
        <f>F149+F199</f>
        <v>358334.67801779998</v>
      </c>
      <c r="J181" s="347" t="s">
        <v>384</v>
      </c>
      <c r="K181" s="347"/>
    </row>
    <row r="182" spans="1:12" ht="36" customHeight="1" x14ac:dyDescent="0.25">
      <c r="A182" s="323" t="s">
        <v>511</v>
      </c>
      <c r="B182" s="243" t="s">
        <v>27</v>
      </c>
      <c r="C182" s="273">
        <v>1087.4883199999999</v>
      </c>
      <c r="D182" s="273">
        <v>0</v>
      </c>
      <c r="E182" s="343">
        <v>0</v>
      </c>
      <c r="F182" s="273">
        <v>0</v>
      </c>
      <c r="G182" s="348">
        <v>1087.4883199999999</v>
      </c>
      <c r="H182" s="270" t="s">
        <v>158</v>
      </c>
      <c r="I182" s="349">
        <v>379047.3</v>
      </c>
      <c r="J182" s="350"/>
      <c r="K182" s="12"/>
      <c r="L182" s="12"/>
    </row>
    <row r="183" spans="1:12" ht="94.5" x14ac:dyDescent="0.25">
      <c r="A183" s="320">
        <v>3</v>
      </c>
      <c r="B183" s="219" t="s">
        <v>436</v>
      </c>
      <c r="C183" s="321">
        <f>SUM(C184:C190)</f>
        <v>425536.45455000002</v>
      </c>
      <c r="D183" s="321">
        <f>SUM(D184:D185)</f>
        <v>0</v>
      </c>
      <c r="E183" s="321">
        <f>SUM(E184:E190)</f>
        <v>0</v>
      </c>
      <c r="F183" s="321">
        <f>SUM(F184:F190)</f>
        <v>418280.40000449994</v>
      </c>
      <c r="G183" s="351">
        <f>SUM(G184:G190)</f>
        <v>7256.0545455000101</v>
      </c>
      <c r="H183" s="208">
        <f>'целевые показатели'!J137</f>
        <v>425536.45455000002</v>
      </c>
      <c r="I183" s="352">
        <f>287882773.74/1000</f>
        <v>287882.77374000003</v>
      </c>
      <c r="J183" s="353">
        <v>290000</v>
      </c>
      <c r="K183" s="347" t="s">
        <v>384</v>
      </c>
    </row>
    <row r="184" spans="1:12" ht="31.5" x14ac:dyDescent="0.25">
      <c r="A184" s="323" t="s">
        <v>68</v>
      </c>
      <c r="B184" s="243" t="str">
        <f>'целевые показатели'!B143</f>
        <v>Карачевское шоссе, 2 этап (на участке от ул.Мостовой до черты города)</v>
      </c>
      <c r="C184" s="273">
        <v>91884.078980000006</v>
      </c>
      <c r="D184" s="273">
        <v>0</v>
      </c>
      <c r="E184" s="273">
        <v>0</v>
      </c>
      <c r="F184" s="273">
        <v>90965.238190200005</v>
      </c>
      <c r="G184" s="226">
        <v>918.84078980000049</v>
      </c>
      <c r="I184" s="208">
        <f>I181-379047.3</f>
        <v>-20712.621982200013</v>
      </c>
      <c r="J184" s="12"/>
      <c r="K184" s="12">
        <v>418280.4</v>
      </c>
    </row>
    <row r="185" spans="1:12" ht="31.5" x14ac:dyDescent="0.25">
      <c r="A185" s="323" t="s">
        <v>69</v>
      </c>
      <c r="B185" s="243" t="str">
        <f>'целевые показатели'!B144</f>
        <v>ул.Комсомольская от Карачевского шоссе до Кромского шоссе (проезжая часть)</v>
      </c>
      <c r="C185" s="273">
        <v>141186.55783999999</v>
      </c>
      <c r="D185" s="273">
        <v>0</v>
      </c>
      <c r="E185" s="273">
        <v>0</v>
      </c>
      <c r="F185" s="273">
        <v>139774.69226159999</v>
      </c>
      <c r="G185" s="226">
        <v>1411.8655784000002</v>
      </c>
      <c r="K185" s="12">
        <f>K184-F183</f>
        <v>-4.4999760575592518E-6</v>
      </c>
      <c r="L185" s="207">
        <f>K185/99*100</f>
        <v>-4.5454303611709618E-6</v>
      </c>
    </row>
    <row r="186" spans="1:12" ht="45.75" customHeight="1" x14ac:dyDescent="0.25">
      <c r="A186" s="323" t="s">
        <v>70</v>
      </c>
      <c r="B186" s="243" t="str">
        <f>'целевые показатели'!B146</f>
        <v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v>
      </c>
      <c r="C186" s="273">
        <v>56709.861400000002</v>
      </c>
      <c r="D186" s="273">
        <v>0</v>
      </c>
      <c r="E186" s="273">
        <v>0</v>
      </c>
      <c r="F186" s="273">
        <v>56142.762785999999</v>
      </c>
      <c r="G186" s="226">
        <v>567.09861400000227</v>
      </c>
      <c r="H186" s="208">
        <f>I187-C187</f>
        <v>-86344.368130000003</v>
      </c>
      <c r="I186" s="208">
        <v>59827.4755</v>
      </c>
      <c r="K186" s="12"/>
    </row>
    <row r="187" spans="1:12" ht="19.5" customHeight="1" x14ac:dyDescent="0.25">
      <c r="A187" s="323" t="s">
        <v>71</v>
      </c>
      <c r="B187" s="243" t="str">
        <f>'целевые показатели'!B153</f>
        <v>Ремонт улично-дорожной сети города Орла: ул.Бурова</v>
      </c>
      <c r="C187" s="273">
        <v>86344.368130000003</v>
      </c>
      <c r="D187" s="273">
        <v>0</v>
      </c>
      <c r="E187" s="273">
        <v>0</v>
      </c>
      <c r="F187" s="273">
        <v>85480.924448699996</v>
      </c>
      <c r="G187" s="226">
        <v>863.44368130000657</v>
      </c>
      <c r="H187" s="208">
        <f>H187*0.99</f>
        <v>0</v>
      </c>
      <c r="K187" s="12"/>
    </row>
    <row r="188" spans="1:12" ht="63.75" customHeight="1" x14ac:dyDescent="0.25">
      <c r="A188" s="323" t="s">
        <v>72</v>
      </c>
      <c r="B188" s="243" t="str">
        <f>'целевые показатели'!B154</f>
        <v>Капитальный ремонт автомобильной дороги города Орла по ул. Раздольная от Болховского шоссе до ул. Михалицына с территорией моста через р. Ока "Раздольный" и путепровода "378 км по ул. Михалицына"</v>
      </c>
      <c r="C188" s="273">
        <v>46380.588199999998</v>
      </c>
      <c r="D188" s="273">
        <v>0</v>
      </c>
      <c r="E188" s="273">
        <v>0</v>
      </c>
      <c r="F188" s="273">
        <v>45916.782317999998</v>
      </c>
      <c r="G188" s="226">
        <v>463.80588200000057</v>
      </c>
      <c r="K188" s="12"/>
    </row>
    <row r="189" spans="1:12" ht="18" customHeight="1" x14ac:dyDescent="0.25">
      <c r="A189" s="323" t="s">
        <v>493</v>
      </c>
      <c r="B189" s="243" t="s">
        <v>26</v>
      </c>
      <c r="C189" s="273">
        <v>0</v>
      </c>
      <c r="D189" s="273">
        <v>0</v>
      </c>
      <c r="E189" s="273">
        <v>0</v>
      </c>
      <c r="F189" s="273">
        <v>0</v>
      </c>
      <c r="G189" s="226">
        <v>0</v>
      </c>
      <c r="K189" s="12">
        <v>349817.2</v>
      </c>
    </row>
    <row r="190" spans="1:12" ht="33" x14ac:dyDescent="0.25">
      <c r="A190" s="323" t="s">
        <v>494</v>
      </c>
      <c r="B190" s="251" t="s">
        <v>27</v>
      </c>
      <c r="C190" s="273">
        <v>3031</v>
      </c>
      <c r="D190" s="273">
        <v>0</v>
      </c>
      <c r="E190" s="273">
        <v>0</v>
      </c>
      <c r="F190" s="273">
        <v>0</v>
      </c>
      <c r="G190" s="226">
        <v>3031</v>
      </c>
      <c r="H190" s="270" t="s">
        <v>158</v>
      </c>
      <c r="J190" s="12">
        <f>K189-K190</f>
        <v>60171.299999999988</v>
      </c>
      <c r="K190" s="12">
        <v>289645.90000000002</v>
      </c>
      <c r="L190" s="246" t="s">
        <v>733</v>
      </c>
    </row>
    <row r="191" spans="1:12" ht="49.5" x14ac:dyDescent="0.25">
      <c r="A191" s="323">
        <v>4</v>
      </c>
      <c r="B191" s="308" t="s">
        <v>13</v>
      </c>
      <c r="C191" s="321">
        <f>SUM(C192:C194)</f>
        <v>2200</v>
      </c>
      <c r="D191" s="321">
        <f>SUM(D192:D194)</f>
        <v>0</v>
      </c>
      <c r="E191" s="321">
        <f>SUM(E192:E194)</f>
        <v>0</v>
      </c>
      <c r="F191" s="321">
        <f>SUM(F192:F194)</f>
        <v>0</v>
      </c>
      <c r="G191" s="351">
        <f>SUM(G192:G194)</f>
        <v>2200</v>
      </c>
      <c r="H191" s="270">
        <f>'целевые показатели'!J168</f>
        <v>0</v>
      </c>
      <c r="J191" s="12">
        <f>K191-K190</f>
        <v>172490.8</v>
      </c>
      <c r="K191" s="12">
        <v>462136.7</v>
      </c>
      <c r="L191" s="246" t="s">
        <v>732</v>
      </c>
    </row>
    <row r="192" spans="1:12" ht="33" x14ac:dyDescent="0.25">
      <c r="A192" s="323" t="s">
        <v>383</v>
      </c>
      <c r="B192" s="251" t="str">
        <f>'целевые показатели'!B170</f>
        <v>разработка проекта организации дорожного движения по автомобильным дорогам города Орла</v>
      </c>
      <c r="C192" s="273">
        <f>'целевые показатели'!J170</f>
        <v>150</v>
      </c>
      <c r="D192" s="273">
        <v>0</v>
      </c>
      <c r="E192" s="273">
        <v>0</v>
      </c>
      <c r="F192" s="273">
        <v>0</v>
      </c>
      <c r="G192" s="226">
        <f>C192-F192</f>
        <v>150</v>
      </c>
      <c r="H192" s="270"/>
      <c r="J192" s="12"/>
      <c r="K192" s="12"/>
      <c r="L192" s="207">
        <f>290*2</f>
        <v>580</v>
      </c>
    </row>
    <row r="193" spans="1:11" ht="49.5" x14ac:dyDescent="0.25">
      <c r="A193" s="323" t="s">
        <v>423</v>
      </c>
      <c r="B193" s="251" t="str">
        <f>'целевые показатели'!B181</f>
        <v>устройство (монтаж) недостающих средств организации и регулирования дорожного движения в районе дома № 1 по ул.Металлургов</v>
      </c>
      <c r="C193" s="273">
        <f>'целевые показатели'!J171</f>
        <v>150</v>
      </c>
      <c r="D193" s="273">
        <v>0</v>
      </c>
      <c r="E193" s="273">
        <v>0</v>
      </c>
      <c r="F193" s="273">
        <v>0</v>
      </c>
      <c r="G193" s="274">
        <f>C193-F193</f>
        <v>150</v>
      </c>
      <c r="H193" s="270"/>
      <c r="K193" s="12"/>
    </row>
    <row r="194" spans="1:11" ht="18.75" customHeight="1" x14ac:dyDescent="0.25">
      <c r="A194" s="323" t="s">
        <v>424</v>
      </c>
      <c r="B194" s="251" t="str">
        <f>'целевые показатели'!B193</f>
        <v>установка дорожных знаков и нанесения дорожной разметки</v>
      </c>
      <c r="C194" s="273">
        <f>'целевые показатели'!J193</f>
        <v>1900</v>
      </c>
      <c r="D194" s="273">
        <v>0</v>
      </c>
      <c r="E194" s="273">
        <v>0</v>
      </c>
      <c r="F194" s="273">
        <v>0</v>
      </c>
      <c r="G194" s="274">
        <f>C194-F194</f>
        <v>1900</v>
      </c>
      <c r="H194" s="270"/>
      <c r="K194" s="12"/>
    </row>
    <row r="195" spans="1:11" ht="110.25" x14ac:dyDescent="0.25">
      <c r="A195" s="320">
        <v>5</v>
      </c>
      <c r="B195" s="303" t="s">
        <v>437</v>
      </c>
      <c r="C195" s="321">
        <f>'целевые показатели'!J203</f>
        <v>149100</v>
      </c>
      <c r="D195" s="321">
        <f>'целевые показатели'!J208</f>
        <v>106692.1</v>
      </c>
      <c r="E195" s="321">
        <v>0</v>
      </c>
      <c r="F195" s="321">
        <f>'целевые показатели'!J208</f>
        <v>106692.1</v>
      </c>
      <c r="G195" s="322">
        <f>'целевые показатели'!J209</f>
        <v>0</v>
      </c>
      <c r="H195" s="270"/>
      <c r="K195" s="12"/>
    </row>
    <row r="196" spans="1:11" ht="47.25" x14ac:dyDescent="0.25">
      <c r="A196" s="320">
        <v>7</v>
      </c>
      <c r="B196" s="219" t="s">
        <v>11</v>
      </c>
      <c r="C196" s="273">
        <f>'целевые показатели'!J212</f>
        <v>0</v>
      </c>
      <c r="D196" s="273">
        <f>'целевые показатели'!J227</f>
        <v>0</v>
      </c>
      <c r="E196" s="273">
        <v>0</v>
      </c>
      <c r="F196" s="273">
        <f>'целевые показатели'!J227</f>
        <v>0</v>
      </c>
      <c r="G196" s="274">
        <f>'целевые показатели'!J228</f>
        <v>0</v>
      </c>
      <c r="H196" s="270"/>
      <c r="K196" s="12"/>
    </row>
    <row r="197" spans="1:11" ht="18" customHeight="1" x14ac:dyDescent="0.25">
      <c r="A197" s="320">
        <v>7</v>
      </c>
      <c r="B197" s="308" t="s">
        <v>138</v>
      </c>
      <c r="C197" s="321">
        <f>SUM(C198)</f>
        <v>1518965.3725858601</v>
      </c>
      <c r="D197" s="321">
        <f>SUM(D198)</f>
        <v>1498901.8</v>
      </c>
      <c r="E197" s="321">
        <f>SUM(E198)</f>
        <v>0</v>
      </c>
      <c r="F197" s="321">
        <f>SUM(F198)</f>
        <v>4873.9188599999761</v>
      </c>
      <c r="G197" s="322">
        <f>SUM(G198)</f>
        <v>0</v>
      </c>
      <c r="H197" s="208">
        <f>'целевые показатели'!J231</f>
        <v>1518965.3725858601</v>
      </c>
      <c r="K197" s="12"/>
    </row>
    <row r="198" spans="1:11" ht="18" customHeight="1" x14ac:dyDescent="0.25">
      <c r="A198" s="323" t="s">
        <v>314</v>
      </c>
      <c r="B198" s="251" t="s">
        <v>76</v>
      </c>
      <c r="C198" s="273">
        <f>'целевые показатели'!J232</f>
        <v>1518965.3725858601</v>
      </c>
      <c r="D198" s="273">
        <f>'целевые показатели'!J234</f>
        <v>1498901.8</v>
      </c>
      <c r="E198" s="273">
        <v>0</v>
      </c>
      <c r="F198" s="273">
        <f>'целевые показатели'!J235</f>
        <v>4873.9188599999761</v>
      </c>
      <c r="G198" s="274">
        <f>'целевые показатели'!J237</f>
        <v>0</v>
      </c>
      <c r="K198" s="12"/>
    </row>
    <row r="199" spans="1:11" ht="37.5" customHeight="1" x14ac:dyDescent="0.25">
      <c r="A199" s="320">
        <v>8</v>
      </c>
      <c r="B199" s="308" t="s">
        <v>294</v>
      </c>
      <c r="C199" s="321">
        <f>SUM(C201:C215)</f>
        <v>315873.19284999982</v>
      </c>
      <c r="D199" s="321">
        <f>SUM(D201:D215)</f>
        <v>0</v>
      </c>
      <c r="E199" s="321">
        <f>SUM(E201:E215)</f>
        <v>0</v>
      </c>
      <c r="F199" s="321">
        <f>SUM(F201:F215)</f>
        <v>312714.46092150005</v>
      </c>
      <c r="G199" s="322">
        <f>SUM(G201:G215)</f>
        <v>3158.7319285000244</v>
      </c>
      <c r="H199" s="208">
        <f>'целевые показатели'!J239</f>
        <v>315873.19284999982</v>
      </c>
      <c r="I199" s="208">
        <v>377804.08205000003</v>
      </c>
      <c r="J199" s="12">
        <f>F199+F149</f>
        <v>358334.67801779998</v>
      </c>
      <c r="K199" s="12"/>
    </row>
    <row r="200" spans="1:11" ht="82.5" hidden="1" x14ac:dyDescent="0.25">
      <c r="A200" s="323" t="s">
        <v>315</v>
      </c>
      <c r="B200" s="354" t="s">
        <v>667</v>
      </c>
      <c r="C200" s="244">
        <f>'целевые показатели'!J242</f>
        <v>0</v>
      </c>
      <c r="D200" s="273">
        <v>0</v>
      </c>
      <c r="E200" s="273"/>
      <c r="F200" s="273">
        <f>C200*0.99</f>
        <v>0</v>
      </c>
      <c r="G200" s="274">
        <f>C200-F200</f>
        <v>0</v>
      </c>
      <c r="K200" s="12"/>
    </row>
    <row r="201" spans="1:11" ht="33" x14ac:dyDescent="0.25">
      <c r="A201" s="323" t="s">
        <v>315</v>
      </c>
      <c r="B201" s="354" t="s">
        <v>373</v>
      </c>
      <c r="C201" s="273">
        <f>'целевые показатели'!J243</f>
        <v>13327.52447</v>
      </c>
      <c r="D201" s="273">
        <v>0</v>
      </c>
      <c r="E201" s="273">
        <v>0</v>
      </c>
      <c r="F201" s="273">
        <f>C201*0.99</f>
        <v>13194.2492253</v>
      </c>
      <c r="G201" s="274">
        <f t="shared" ref="G201:G215" si="0">C201-F201</f>
        <v>133.27524470000026</v>
      </c>
      <c r="I201" s="208">
        <f>I199+K202</f>
        <v>382236.31898000004</v>
      </c>
      <c r="J201" s="12">
        <f>J199-I199</f>
        <v>-19469.404032200051</v>
      </c>
      <c r="K201" s="12">
        <f>J201/99</f>
        <v>-196.66064678989952</v>
      </c>
    </row>
    <row r="202" spans="1:11" ht="33" x14ac:dyDescent="0.25">
      <c r="A202" s="323" t="s">
        <v>317</v>
      </c>
      <c r="B202" s="354" t="s">
        <v>440</v>
      </c>
      <c r="C202" s="273">
        <f>'целевые показатели'!J244</f>
        <v>12621.01945</v>
      </c>
      <c r="D202" s="273">
        <v>0</v>
      </c>
      <c r="E202" s="273">
        <v>0</v>
      </c>
      <c r="F202" s="273">
        <f t="shared" ref="F202:F207" si="1">C202*0.99</f>
        <v>12494.8092555</v>
      </c>
      <c r="G202" s="274">
        <f t="shared" si="0"/>
        <v>126.21019449999949</v>
      </c>
      <c r="J202" s="207">
        <f>3937.007+540</f>
        <v>4477.0069999999996</v>
      </c>
      <c r="K202" s="12">
        <f>J202*0.99</f>
        <v>4432.2369299999991</v>
      </c>
    </row>
    <row r="203" spans="1:11" ht="33" x14ac:dyDescent="0.25">
      <c r="A203" s="323" t="s">
        <v>316</v>
      </c>
      <c r="B203" s="354" t="s">
        <v>298</v>
      </c>
      <c r="C203" s="273">
        <f>'целевые показатели'!J245</f>
        <v>19064.628000000001</v>
      </c>
      <c r="D203" s="273">
        <v>0</v>
      </c>
      <c r="E203" s="273">
        <v>0</v>
      </c>
      <c r="F203" s="273">
        <f t="shared" si="1"/>
        <v>18873.98172</v>
      </c>
      <c r="G203" s="274">
        <f t="shared" si="0"/>
        <v>190.64628000000084</v>
      </c>
      <c r="K203" s="12"/>
    </row>
    <row r="204" spans="1:11" ht="33" x14ac:dyDescent="0.25">
      <c r="A204" s="323" t="s">
        <v>318</v>
      </c>
      <c r="B204" s="354" t="s">
        <v>412</v>
      </c>
      <c r="C204" s="273">
        <f>'целевые показатели'!J246</f>
        <v>18412.25491</v>
      </c>
      <c r="D204" s="273">
        <v>0</v>
      </c>
      <c r="E204" s="273">
        <v>0</v>
      </c>
      <c r="F204" s="273">
        <f t="shared" si="1"/>
        <v>18228.132360899999</v>
      </c>
      <c r="G204" s="274">
        <f t="shared" si="0"/>
        <v>184.12254910000047</v>
      </c>
      <c r="K204" s="12"/>
    </row>
    <row r="205" spans="1:11" ht="33" x14ac:dyDescent="0.25">
      <c r="A205" s="323" t="s">
        <v>422</v>
      </c>
      <c r="B205" s="354" t="s">
        <v>297</v>
      </c>
      <c r="C205" s="273">
        <f>'целевые показатели'!J247</f>
        <v>19125.659759999999</v>
      </c>
      <c r="D205" s="273">
        <v>0</v>
      </c>
      <c r="E205" s="273">
        <v>0</v>
      </c>
      <c r="F205" s="273">
        <f t="shared" si="1"/>
        <v>18934.403162399998</v>
      </c>
      <c r="G205" s="274">
        <f t="shared" si="0"/>
        <v>191.25659759999689</v>
      </c>
      <c r="H205" s="208" t="s">
        <v>636</v>
      </c>
      <c r="I205" s="270"/>
      <c r="J205" s="242"/>
      <c r="K205" s="12"/>
    </row>
    <row r="206" spans="1:11" ht="49.5" x14ac:dyDescent="0.25">
      <c r="A206" s="323" t="s">
        <v>430</v>
      </c>
      <c r="B206" s="354" t="s">
        <v>432</v>
      </c>
      <c r="C206" s="273">
        <f>'целевые показатели'!J248</f>
        <v>7675.1715299999996</v>
      </c>
      <c r="D206" s="273">
        <v>0</v>
      </c>
      <c r="E206" s="273">
        <v>0</v>
      </c>
      <c r="F206" s="273">
        <f t="shared" si="1"/>
        <v>7598.4198146999997</v>
      </c>
      <c r="G206" s="274">
        <f t="shared" si="0"/>
        <v>76.751715299999887</v>
      </c>
      <c r="K206" s="12"/>
    </row>
    <row r="207" spans="1:11" s="242" customFormat="1" ht="49.5" x14ac:dyDescent="0.25">
      <c r="A207" s="323" t="s">
        <v>442</v>
      </c>
      <c r="B207" s="354" t="s">
        <v>441</v>
      </c>
      <c r="C207" s="273">
        <f>'целевые показатели'!J249</f>
        <v>194813.39166999998</v>
      </c>
      <c r="D207" s="273">
        <v>0</v>
      </c>
      <c r="E207" s="273">
        <v>0</v>
      </c>
      <c r="F207" s="273">
        <f t="shared" si="1"/>
        <v>192865.25775329999</v>
      </c>
      <c r="G207" s="274">
        <f t="shared" si="0"/>
        <v>1948.133916700026</v>
      </c>
      <c r="H207" s="270"/>
      <c r="I207" s="208"/>
      <c r="J207" s="207"/>
      <c r="K207" s="275"/>
    </row>
    <row r="208" spans="1:11" ht="33" customHeight="1" x14ac:dyDescent="0.25">
      <c r="A208" s="323" t="s">
        <v>443</v>
      </c>
      <c r="B208" s="355" t="str">
        <f>'целевые показатели'!B257</f>
        <v>Капитальный ремонт автомобильных дорог города Орла на улицах частной жилой застройки: ул. Полевая</v>
      </c>
      <c r="C208" s="273">
        <f>'целевые показатели'!J257</f>
        <v>4158.5938800000004</v>
      </c>
      <c r="D208" s="273">
        <v>0</v>
      </c>
      <c r="E208" s="273">
        <v>0</v>
      </c>
      <c r="F208" s="273">
        <f t="shared" ref="F208:F215" si="2">C208*0.99</f>
        <v>4117.0079412000005</v>
      </c>
      <c r="G208" s="274">
        <f t="shared" si="0"/>
        <v>41.585938800000804</v>
      </c>
      <c r="H208" s="208" t="s">
        <v>636</v>
      </c>
      <c r="K208" s="12"/>
    </row>
    <row r="209" spans="1:13" ht="31.5" x14ac:dyDescent="0.25">
      <c r="A209" s="323" t="s">
        <v>444</v>
      </c>
      <c r="B209" s="355" t="str">
        <f>'целевые показатели'!B258</f>
        <v>Капитальный ремонт автомобильных дорог города Орла на улицах частной жилой застройки: ул. Высокая</v>
      </c>
      <c r="C209" s="273">
        <f>'целевые показатели'!J258</f>
        <v>4087.7678850000002</v>
      </c>
      <c r="D209" s="273">
        <v>0</v>
      </c>
      <c r="E209" s="273">
        <v>0</v>
      </c>
      <c r="F209" s="273">
        <f t="shared" si="2"/>
        <v>4046.8902061500003</v>
      </c>
      <c r="G209" s="274">
        <f t="shared" si="0"/>
        <v>40.877678850000393</v>
      </c>
      <c r="H209" s="208" t="s">
        <v>636</v>
      </c>
      <c r="K209" s="12"/>
    </row>
    <row r="210" spans="1:13" ht="31.5" x14ac:dyDescent="0.25">
      <c r="A210" s="323" t="s">
        <v>460</v>
      </c>
      <c r="B210" s="355" t="str">
        <f>'целевые показатели'!B259</f>
        <v>Капитальный ремонт автомобильных дорог города Орла на улицах частной жилой застройки: ул.Радищева</v>
      </c>
      <c r="C210" s="273">
        <f>'целевые показатели'!J259</f>
        <v>4123.1808849999998</v>
      </c>
      <c r="D210" s="273">
        <v>0</v>
      </c>
      <c r="E210" s="273">
        <v>0</v>
      </c>
      <c r="F210" s="273">
        <f t="shared" si="2"/>
        <v>4081.9490761499997</v>
      </c>
      <c r="G210" s="274">
        <f t="shared" si="0"/>
        <v>41.231808849999652</v>
      </c>
      <c r="H210" s="208" t="s">
        <v>636</v>
      </c>
      <c r="K210" s="12"/>
    </row>
    <row r="211" spans="1:13" ht="31.5" x14ac:dyDescent="0.25">
      <c r="A211" s="323" t="s">
        <v>461</v>
      </c>
      <c r="B211" s="355" t="str">
        <f>'целевые показатели'!B260</f>
        <v>Капитальный ремонт автомобильных дорог города Орла на улицах частной жилой застройки: ул.Волжская</v>
      </c>
      <c r="C211" s="273">
        <f>'целевые показатели'!J260</f>
        <v>4123.1808849999998</v>
      </c>
      <c r="D211" s="273">
        <v>0</v>
      </c>
      <c r="E211" s="273">
        <v>0</v>
      </c>
      <c r="F211" s="273">
        <f t="shared" si="2"/>
        <v>4081.9490761499997</v>
      </c>
      <c r="G211" s="274">
        <f t="shared" si="0"/>
        <v>41.231808849999652</v>
      </c>
      <c r="H211" s="208" t="s">
        <v>636</v>
      </c>
      <c r="K211" s="12"/>
    </row>
    <row r="212" spans="1:13" ht="31.5" x14ac:dyDescent="0.25">
      <c r="A212" s="323" t="s">
        <v>462</v>
      </c>
      <c r="B212" s="355" t="str">
        <f>'целевые показатели'!B261</f>
        <v>Капитальный ремонт автомобильных дорог города Орла на улицах частной жилой застройки: ул.Гвардейская</v>
      </c>
      <c r="C212" s="273">
        <f>'целевые показатели'!J261</f>
        <v>5575.8852100000004</v>
      </c>
      <c r="D212" s="273">
        <v>0</v>
      </c>
      <c r="E212" s="273">
        <v>0</v>
      </c>
      <c r="F212" s="273">
        <f t="shared" si="2"/>
        <v>5520.1263579000006</v>
      </c>
      <c r="G212" s="274">
        <f t="shared" si="0"/>
        <v>55.758852100000695</v>
      </c>
      <c r="H212" s="208" t="s">
        <v>636</v>
      </c>
      <c r="K212" s="12"/>
    </row>
    <row r="213" spans="1:13" ht="31.5" x14ac:dyDescent="0.25">
      <c r="A213" s="323" t="s">
        <v>463</v>
      </c>
      <c r="B213" s="355" t="s">
        <v>780</v>
      </c>
      <c r="C213" s="273">
        <f>'целевые показатели'!J262</f>
        <v>4288.9273149999999</v>
      </c>
      <c r="D213" s="273">
        <v>0</v>
      </c>
      <c r="E213" s="273">
        <v>0</v>
      </c>
      <c r="F213" s="273">
        <f t="shared" si="2"/>
        <v>4246.0380418499999</v>
      </c>
      <c r="G213" s="274">
        <f t="shared" si="0"/>
        <v>42.889273150000008</v>
      </c>
      <c r="H213" s="208" t="s">
        <v>636</v>
      </c>
      <c r="K213" s="12"/>
    </row>
    <row r="214" spans="1:13" ht="31.5" x14ac:dyDescent="0.25">
      <c r="A214" s="323" t="s">
        <v>464</v>
      </c>
      <c r="B214" s="355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214" s="273">
        <f>'целевые показатели'!J389</f>
        <v>4476.0069999999996</v>
      </c>
      <c r="D214" s="273">
        <v>0</v>
      </c>
      <c r="E214" s="273">
        <v>0</v>
      </c>
      <c r="F214" s="273">
        <f t="shared" si="2"/>
        <v>4431.2469299999993</v>
      </c>
      <c r="G214" s="274">
        <f t="shared" si="0"/>
        <v>44.760069999999359</v>
      </c>
      <c r="K214" s="12"/>
    </row>
    <row r="215" spans="1:13" x14ac:dyDescent="0.25">
      <c r="A215" s="323" t="s">
        <v>635</v>
      </c>
      <c r="B215" s="355" t="str">
        <f>'целевые показатели'!B390</f>
        <v>незадействованный остаток</v>
      </c>
      <c r="C215" s="273">
        <f>'целевые показатели'!J390</f>
        <v>0</v>
      </c>
      <c r="D215" s="273">
        <v>0</v>
      </c>
      <c r="E215" s="273">
        <v>0</v>
      </c>
      <c r="F215" s="273">
        <f t="shared" si="2"/>
        <v>0</v>
      </c>
      <c r="G215" s="274">
        <f t="shared" si="0"/>
        <v>0</v>
      </c>
      <c r="K215" s="12"/>
    </row>
    <row r="216" spans="1:13" ht="18" customHeight="1" x14ac:dyDescent="0.25">
      <c r="A216" s="747" t="s">
        <v>19</v>
      </c>
      <c r="B216" s="748"/>
      <c r="C216" s="748"/>
      <c r="D216" s="748"/>
      <c r="E216" s="748"/>
      <c r="F216" s="748"/>
      <c r="G216" s="749"/>
      <c r="I216" s="352">
        <f>SUM(I217:I220)</f>
        <v>1038280.72487</v>
      </c>
      <c r="K216" s="12"/>
    </row>
    <row r="217" spans="1:13" x14ac:dyDescent="0.25">
      <c r="A217" s="320">
        <v>1</v>
      </c>
      <c r="B217" s="219" t="s">
        <v>44</v>
      </c>
      <c r="C217" s="321">
        <f>SUM(C219:C231)</f>
        <v>1062241.398958707</v>
      </c>
      <c r="D217" s="321">
        <f>SUM(D219:D231)</f>
        <v>0</v>
      </c>
      <c r="E217" s="321">
        <f>SUM(E219:E231)</f>
        <v>0</v>
      </c>
      <c r="F217" s="321">
        <f>SUM(F219:F231)</f>
        <v>1038280.7248691202</v>
      </c>
      <c r="G217" s="322">
        <f>SUM(G219:G231)</f>
        <v>24130.674089587195</v>
      </c>
      <c r="H217" s="208">
        <f>'целевые показатели'!K26</f>
        <v>1062241.398958707</v>
      </c>
      <c r="I217" s="252">
        <f>900000</f>
        <v>900000</v>
      </c>
      <c r="J217" s="207" t="s">
        <v>736</v>
      </c>
      <c r="K217" s="12"/>
    </row>
    <row r="218" spans="1:13" x14ac:dyDescent="0.25">
      <c r="A218" s="323" t="s">
        <v>45</v>
      </c>
      <c r="B218" s="223" t="s">
        <v>22</v>
      </c>
      <c r="C218" s="273">
        <f>SUM(C219:C224)</f>
        <v>711506.20422198996</v>
      </c>
      <c r="D218" s="273">
        <v>0</v>
      </c>
      <c r="E218" s="273">
        <v>0</v>
      </c>
      <c r="F218" s="273">
        <f t="shared" ref="F218:F224" si="3">C218*0.99</f>
        <v>704391.14217977005</v>
      </c>
      <c r="G218" s="274">
        <f>C218-F218</f>
        <v>7115.0620422199136</v>
      </c>
      <c r="H218" s="270"/>
      <c r="I218" s="252">
        <v>46435.48659</v>
      </c>
      <c r="J218" s="207" t="s">
        <v>737</v>
      </c>
      <c r="K218" s="12"/>
    </row>
    <row r="219" spans="1:13" x14ac:dyDescent="0.25">
      <c r="A219" s="356" t="s">
        <v>172</v>
      </c>
      <c r="B219" s="230" t="s">
        <v>169</v>
      </c>
      <c r="C219" s="231">
        <v>20000</v>
      </c>
      <c r="D219" s="326">
        <v>0</v>
      </c>
      <c r="E219" s="326">
        <v>0</v>
      </c>
      <c r="F219" s="326">
        <f t="shared" si="3"/>
        <v>19800</v>
      </c>
      <c r="G219" s="274">
        <f t="shared" ref="G219:G227" si="4">C219-F219</f>
        <v>200</v>
      </c>
      <c r="I219" s="252">
        <v>41845.238279999998</v>
      </c>
      <c r="J219" s="207" t="s">
        <v>737</v>
      </c>
      <c r="K219" s="12"/>
    </row>
    <row r="220" spans="1:13" ht="35.25" customHeight="1" x14ac:dyDescent="0.25">
      <c r="A220" s="356" t="s">
        <v>173</v>
      </c>
      <c r="B220" s="230" t="s">
        <v>757</v>
      </c>
      <c r="C220" s="231">
        <f>18000+35000+842.36053</f>
        <v>53842.360529999998</v>
      </c>
      <c r="D220" s="326">
        <v>0</v>
      </c>
      <c r="E220" s="326">
        <v>0</v>
      </c>
      <c r="F220" s="326">
        <f t="shared" si="3"/>
        <v>53303.9369247</v>
      </c>
      <c r="G220" s="274">
        <f t="shared" si="4"/>
        <v>538.4236052999986</v>
      </c>
      <c r="H220" s="248" t="s">
        <v>741</v>
      </c>
      <c r="I220" s="357">
        <v>50000</v>
      </c>
      <c r="J220" s="207" t="s">
        <v>749</v>
      </c>
      <c r="K220" s="12"/>
    </row>
    <row r="221" spans="1:13" ht="31.5" x14ac:dyDescent="0.25">
      <c r="A221" s="356" t="s">
        <v>174</v>
      </c>
      <c r="B221" s="230" t="s">
        <v>756</v>
      </c>
      <c r="C221" s="231">
        <v>62909.982020000003</v>
      </c>
      <c r="D221" s="326">
        <v>0</v>
      </c>
      <c r="E221" s="326">
        <v>0</v>
      </c>
      <c r="F221" s="326">
        <f t="shared" si="3"/>
        <v>62280.882199800006</v>
      </c>
      <c r="G221" s="274">
        <f t="shared" si="4"/>
        <v>629.09982020000461</v>
      </c>
      <c r="H221" s="248"/>
      <c r="I221" s="357"/>
      <c r="K221" s="12"/>
    </row>
    <row r="222" spans="1:13" ht="31.5" x14ac:dyDescent="0.25">
      <c r="A222" s="356" t="s">
        <v>175</v>
      </c>
      <c r="B222" s="230" t="s">
        <v>170</v>
      </c>
      <c r="C222" s="231">
        <v>4025.1717699999999</v>
      </c>
      <c r="D222" s="326">
        <v>0</v>
      </c>
      <c r="E222" s="326">
        <v>0</v>
      </c>
      <c r="F222" s="326">
        <f t="shared" si="3"/>
        <v>3984.9200523</v>
      </c>
      <c r="G222" s="274">
        <f t="shared" si="4"/>
        <v>40.251717699999972</v>
      </c>
      <c r="I222" s="358">
        <f>SUM(I218:I220)</f>
        <v>138280.72487000001</v>
      </c>
      <c r="K222" s="12"/>
    </row>
    <row r="223" spans="1:13" x14ac:dyDescent="0.25">
      <c r="A223" s="356" t="s">
        <v>389</v>
      </c>
      <c r="B223" s="230" t="s">
        <v>740</v>
      </c>
      <c r="C223" s="231">
        <f>2521.26266+890.69663+1466.20906+879.04481+1189.80931+2008.00235+1571.21468</f>
        <v>10526.2395</v>
      </c>
      <c r="D223" s="326">
        <v>0</v>
      </c>
      <c r="E223" s="326">
        <v>0</v>
      </c>
      <c r="F223" s="326">
        <f t="shared" si="3"/>
        <v>10420.977105</v>
      </c>
      <c r="G223" s="274">
        <f t="shared" si="4"/>
        <v>105.26239499999974</v>
      </c>
      <c r="J223" s="208"/>
      <c r="K223" s="208"/>
      <c r="L223" s="208"/>
      <c r="M223" s="208"/>
    </row>
    <row r="224" spans="1:13" x14ac:dyDescent="0.25">
      <c r="A224" s="356" t="s">
        <v>755</v>
      </c>
      <c r="B224" s="230" t="s">
        <v>171</v>
      </c>
      <c r="C224" s="231">
        <f>'целевые показатели'!K27-C219-C220-C222-C223-C221</f>
        <v>560202.45040198998</v>
      </c>
      <c r="D224" s="326">
        <v>0</v>
      </c>
      <c r="E224" s="326">
        <v>0</v>
      </c>
      <c r="F224" s="326">
        <f t="shared" si="3"/>
        <v>554600.4258979701</v>
      </c>
      <c r="G224" s="274">
        <f t="shared" si="4"/>
        <v>5602.0245040199952</v>
      </c>
      <c r="J224" s="208"/>
      <c r="K224" s="208"/>
      <c r="L224" s="208"/>
      <c r="M224" s="208"/>
    </row>
    <row r="225" spans="1:51" s="359" customFormat="1" x14ac:dyDescent="0.25">
      <c r="A225" s="360" t="s">
        <v>46</v>
      </c>
      <c r="B225" s="361" t="s">
        <v>23</v>
      </c>
      <c r="C225" s="362">
        <f>'целевые показатели'!K28</f>
        <v>103454.545455</v>
      </c>
      <c r="D225" s="121">
        <v>0</v>
      </c>
      <c r="E225" s="121">
        <v>0</v>
      </c>
      <c r="F225" s="121">
        <f t="shared" ref="F225:F234" si="5">C225*0.99</f>
        <v>102420.00000045</v>
      </c>
      <c r="G225" s="274">
        <f t="shared" si="4"/>
        <v>1034.5454545499961</v>
      </c>
      <c r="H225" s="208"/>
      <c r="I225" s="208"/>
      <c r="J225" s="208"/>
      <c r="K225" s="208"/>
      <c r="L225" s="208"/>
      <c r="M225" s="208"/>
      <c r="N225" s="207"/>
      <c r="O225" s="207"/>
      <c r="P225" s="207"/>
      <c r="Q225" s="207"/>
      <c r="R225" s="207"/>
      <c r="S225" s="207"/>
      <c r="T225" s="207"/>
      <c r="U225" s="207"/>
      <c r="V225" s="207"/>
      <c r="W225" s="207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/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</row>
    <row r="226" spans="1:51" s="359" customFormat="1" ht="16.5" x14ac:dyDescent="0.25">
      <c r="A226" s="363" t="s">
        <v>47</v>
      </c>
      <c r="B226" s="364" t="s">
        <v>185</v>
      </c>
      <c r="C226" s="121">
        <f>'целевые показатели'!K29</f>
        <v>116193.90360000001</v>
      </c>
      <c r="D226" s="121">
        <v>0</v>
      </c>
      <c r="E226" s="121">
        <v>0</v>
      </c>
      <c r="F226" s="121">
        <f t="shared" si="5"/>
        <v>115031.96456400001</v>
      </c>
      <c r="G226" s="274">
        <f t="shared" si="4"/>
        <v>1161.9390360000107</v>
      </c>
      <c r="H226" s="208"/>
      <c r="I226" s="208"/>
      <c r="J226" s="208"/>
      <c r="K226" s="208"/>
      <c r="L226" s="208"/>
      <c r="M226" s="208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/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</row>
    <row r="227" spans="1:51" s="359" customFormat="1" ht="31.5" x14ac:dyDescent="0.25">
      <c r="A227" s="363" t="s">
        <v>48</v>
      </c>
      <c r="B227" s="365" t="s">
        <v>24</v>
      </c>
      <c r="C227" s="362">
        <f>'целевые показатели'!K30</f>
        <v>22101.0101</v>
      </c>
      <c r="D227" s="121">
        <v>0</v>
      </c>
      <c r="E227" s="121">
        <v>0</v>
      </c>
      <c r="F227" s="121">
        <f t="shared" si="5"/>
        <v>21879.999999</v>
      </c>
      <c r="G227" s="274">
        <f t="shared" si="4"/>
        <v>221.01010099999985</v>
      </c>
      <c r="H227" s="208"/>
      <c r="I227" s="208"/>
      <c r="J227" s="208"/>
      <c r="K227" s="208"/>
      <c r="L227" s="208"/>
      <c r="M227" s="208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/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</row>
    <row r="228" spans="1:51" x14ac:dyDescent="0.25">
      <c r="A228" s="323" t="s">
        <v>49</v>
      </c>
      <c r="B228" s="243" t="str">
        <f>'целевые показатели'!B31</f>
        <v>обеспечение информационной безопасности объекта КИИ</v>
      </c>
      <c r="C228" s="273">
        <f>'целевые показатели'!K31</f>
        <v>8642.99</v>
      </c>
      <c r="D228" s="273">
        <v>0</v>
      </c>
      <c r="E228" s="273">
        <v>0</v>
      </c>
      <c r="F228" s="273">
        <v>0</v>
      </c>
      <c r="G228" s="226">
        <f>C228-F228</f>
        <v>8642.99</v>
      </c>
      <c r="H228" s="208" t="s">
        <v>726</v>
      </c>
      <c r="J228" s="208"/>
      <c r="K228" s="208"/>
      <c r="L228" s="208"/>
      <c r="M228" s="208"/>
    </row>
    <row r="229" spans="1:51" ht="31.5" x14ac:dyDescent="0.25">
      <c r="A229" s="323" t="s">
        <v>155</v>
      </c>
      <c r="B229" s="247" t="s">
        <v>25</v>
      </c>
      <c r="C229" s="273">
        <f>'целевые показатели'!K32</f>
        <v>5050.5050499999998</v>
      </c>
      <c r="D229" s="273">
        <v>0</v>
      </c>
      <c r="E229" s="273">
        <v>0</v>
      </c>
      <c r="F229" s="273">
        <f t="shared" si="5"/>
        <v>4999.9999994999998</v>
      </c>
      <c r="G229" s="274">
        <f t="shared" ref="G229:G234" si="6">C229-F229</f>
        <v>50.505050499999925</v>
      </c>
      <c r="K229" s="12"/>
    </row>
    <row r="230" spans="1:51" ht="16.5" x14ac:dyDescent="0.25">
      <c r="A230" s="323" t="s">
        <v>189</v>
      </c>
      <c r="B230" s="251" t="s">
        <v>154</v>
      </c>
      <c r="C230" s="273">
        <f>'целевые показатели'!K33</f>
        <v>4830</v>
      </c>
      <c r="D230" s="273">
        <v>0</v>
      </c>
      <c r="E230" s="273">
        <v>0</v>
      </c>
      <c r="F230" s="273">
        <v>0</v>
      </c>
      <c r="G230" s="274">
        <v>5000</v>
      </c>
      <c r="K230" s="12"/>
    </row>
    <row r="231" spans="1:51" ht="16.5" x14ac:dyDescent="0.25">
      <c r="A231" s="323" t="s">
        <v>731</v>
      </c>
      <c r="B231" s="251" t="str">
        <f>'целевые показатели'!B34</f>
        <v>кредиторская задолженность предыдущих лет</v>
      </c>
      <c r="C231" s="273">
        <f>'целевые показатели'!K34</f>
        <v>90462.240531717165</v>
      </c>
      <c r="D231" s="273">
        <v>0</v>
      </c>
      <c r="E231" s="273">
        <v>0</v>
      </c>
      <c r="F231" s="273">
        <f t="shared" si="5"/>
        <v>89557.61812639999</v>
      </c>
      <c r="G231" s="274">
        <f>C231-F231</f>
        <v>904.62240531718999</v>
      </c>
      <c r="K231" s="12"/>
    </row>
    <row r="232" spans="1:51" ht="49.5" x14ac:dyDescent="0.25">
      <c r="A232" s="320">
        <v>2</v>
      </c>
      <c r="B232" s="308" t="s">
        <v>15</v>
      </c>
      <c r="C232" s="305">
        <f>SUM(C233:C246)</f>
        <v>135554.07189353538</v>
      </c>
      <c r="D232" s="305">
        <f>SUM(D233:D246)</f>
        <v>0</v>
      </c>
      <c r="E232" s="305">
        <f>SUM(E233:E246)</f>
        <v>0</v>
      </c>
      <c r="F232" s="305">
        <f>SUM(F233:F246)</f>
        <v>130788.9711746</v>
      </c>
      <c r="G232" s="341">
        <f>SUM(G233:G246)</f>
        <v>4765.1007189354023</v>
      </c>
      <c r="H232" s="311">
        <f>'целевые показатели'!K41</f>
        <v>135554.07189353538</v>
      </c>
      <c r="I232" s="208">
        <f>F232+F265</f>
        <v>748214.16404230392</v>
      </c>
      <c r="J232" s="12">
        <f>I232-748214.16404</f>
        <v>2.3040920495986938E-6</v>
      </c>
      <c r="K232" s="12"/>
    </row>
    <row r="233" spans="1:51" s="366" customFormat="1" ht="16.5" hidden="1" x14ac:dyDescent="0.25">
      <c r="A233" s="323"/>
      <c r="B233" s="251" t="str">
        <f>'целевые показатели'!B58</f>
        <v>проезд вдоль дома № 52 по ул. Роза Люксембург</v>
      </c>
      <c r="C233" s="343">
        <f>'целевые показатели'!K58</f>
        <v>0</v>
      </c>
      <c r="D233" s="343">
        <v>0</v>
      </c>
      <c r="E233" s="343">
        <v>0</v>
      </c>
      <c r="F233" s="273">
        <f t="shared" si="5"/>
        <v>0</v>
      </c>
      <c r="G233" s="274">
        <f t="shared" si="6"/>
        <v>0</v>
      </c>
      <c r="H233" s="311"/>
      <c r="I233" s="311"/>
      <c r="K233" s="367"/>
    </row>
    <row r="234" spans="1:51" s="366" customFormat="1" ht="16.5" hidden="1" x14ac:dyDescent="0.25">
      <c r="A234" s="323"/>
      <c r="B234" s="251" t="str">
        <f>'целевые показатели'!B59</f>
        <v>проезд по ул. Нормандия Неман д.№ 101</v>
      </c>
      <c r="C234" s="343">
        <f>'целевые показатели'!K59</f>
        <v>0</v>
      </c>
      <c r="D234" s="343">
        <v>0</v>
      </c>
      <c r="E234" s="343">
        <v>0</v>
      </c>
      <c r="F234" s="273">
        <f t="shared" si="5"/>
        <v>0</v>
      </c>
      <c r="G234" s="274">
        <f t="shared" si="6"/>
        <v>0</v>
      </c>
      <c r="H234" s="311"/>
      <c r="I234" s="311"/>
      <c r="K234" s="367"/>
    </row>
    <row r="235" spans="1:51" s="366" customFormat="1" ht="33" x14ac:dyDescent="0.25">
      <c r="A235" s="368" t="s">
        <v>159</v>
      </c>
      <c r="B235" s="369" t="s">
        <v>760</v>
      </c>
      <c r="C235" s="61">
        <v>22210.927169999999</v>
      </c>
      <c r="D235" s="343">
        <v>0</v>
      </c>
      <c r="E235" s="343">
        <v>0</v>
      </c>
      <c r="F235" s="273">
        <f>C235*0.99</f>
        <v>21988.8178983</v>
      </c>
      <c r="G235" s="274">
        <f>C235-F235</f>
        <v>222.10927169999923</v>
      </c>
      <c r="H235" s="311"/>
      <c r="I235" s="311"/>
      <c r="J235" s="12">
        <f>J232/99*100</f>
        <v>2.3273657066653472E-6</v>
      </c>
      <c r="K235" s="367"/>
    </row>
    <row r="236" spans="1:51" s="366" customFormat="1" ht="16.5" x14ac:dyDescent="0.25">
      <c r="A236" s="370" t="s">
        <v>160</v>
      </c>
      <c r="B236" s="371" t="s">
        <v>761</v>
      </c>
      <c r="C236" s="372">
        <v>5471.4927100000004</v>
      </c>
      <c r="D236" s="343">
        <v>0</v>
      </c>
      <c r="E236" s="343">
        <v>0</v>
      </c>
      <c r="F236" s="273">
        <f t="shared" ref="F236:F245" si="7">C236*0.99</f>
        <v>5416.7777829000006</v>
      </c>
      <c r="G236" s="274">
        <f t="shared" ref="G236:G243" si="8">C236-F236</f>
        <v>54.71492710000075</v>
      </c>
      <c r="H236" s="373">
        <v>5471.4927100000004</v>
      </c>
      <c r="I236" s="311" t="s">
        <v>868</v>
      </c>
      <c r="K236" s="367"/>
    </row>
    <row r="237" spans="1:51" s="366" customFormat="1" ht="16.5" x14ac:dyDescent="0.25">
      <c r="A237" s="370" t="s">
        <v>161</v>
      </c>
      <c r="B237" s="371" t="s">
        <v>762</v>
      </c>
      <c r="C237" s="372">
        <v>11512.287840000001</v>
      </c>
      <c r="D237" s="343">
        <v>0</v>
      </c>
      <c r="E237" s="343">
        <v>0</v>
      </c>
      <c r="F237" s="273">
        <f t="shared" si="7"/>
        <v>11397.164961600001</v>
      </c>
      <c r="G237" s="274">
        <f t="shared" si="8"/>
        <v>115.12287840000135</v>
      </c>
      <c r="H237" s="311"/>
      <c r="I237" s="311"/>
      <c r="K237" s="367"/>
    </row>
    <row r="238" spans="1:51" s="366" customFormat="1" ht="16.5" x14ac:dyDescent="0.25">
      <c r="A238" s="370" t="s">
        <v>162</v>
      </c>
      <c r="B238" s="371" t="s">
        <v>763</v>
      </c>
      <c r="C238" s="372">
        <f>8561.79068+995.55724</f>
        <v>9557.3479200000002</v>
      </c>
      <c r="D238" s="343">
        <v>0</v>
      </c>
      <c r="E238" s="343">
        <v>0</v>
      </c>
      <c r="F238" s="273">
        <f t="shared" si="7"/>
        <v>9461.7744407999999</v>
      </c>
      <c r="G238" s="274">
        <f t="shared" si="8"/>
        <v>95.573479200000293</v>
      </c>
      <c r="H238" s="311"/>
      <c r="I238" s="311"/>
      <c r="K238" s="367"/>
    </row>
    <row r="239" spans="1:51" s="366" customFormat="1" ht="33" x14ac:dyDescent="0.25">
      <c r="A239" s="370" t="s">
        <v>445</v>
      </c>
      <c r="B239" s="364" t="s">
        <v>871</v>
      </c>
      <c r="C239" s="61">
        <f>42500-10275.92395</f>
        <v>32224.07605</v>
      </c>
      <c r="D239" s="343">
        <v>0</v>
      </c>
      <c r="E239" s="343">
        <v>0</v>
      </c>
      <c r="F239" s="273">
        <f t="shared" si="7"/>
        <v>31901.835289499999</v>
      </c>
      <c r="G239" s="274">
        <f t="shared" si="8"/>
        <v>322.24076050000076</v>
      </c>
      <c r="H239" s="311"/>
      <c r="I239" s="311"/>
      <c r="K239" s="367"/>
    </row>
    <row r="240" spans="1:51" s="366" customFormat="1" ht="16.5" x14ac:dyDescent="0.25">
      <c r="A240" s="370" t="s">
        <v>163</v>
      </c>
      <c r="B240" s="364" t="s">
        <v>747</v>
      </c>
      <c r="C240" s="61">
        <v>15700</v>
      </c>
      <c r="D240" s="343">
        <v>0</v>
      </c>
      <c r="E240" s="343">
        <v>0</v>
      </c>
      <c r="F240" s="273">
        <f t="shared" si="7"/>
        <v>15543</v>
      </c>
      <c r="G240" s="274">
        <f t="shared" si="8"/>
        <v>157</v>
      </c>
      <c r="H240" s="311"/>
      <c r="I240" s="311"/>
      <c r="K240" s="367"/>
    </row>
    <row r="241" spans="1:11" s="366" customFormat="1" ht="51.75" customHeight="1" x14ac:dyDescent="0.25">
      <c r="A241" s="370" t="s">
        <v>164</v>
      </c>
      <c r="B241" s="364" t="s">
        <v>748</v>
      </c>
      <c r="C241" s="61">
        <v>3990</v>
      </c>
      <c r="D241" s="343">
        <v>0</v>
      </c>
      <c r="E241" s="343">
        <v>0</v>
      </c>
      <c r="F241" s="273">
        <f t="shared" si="7"/>
        <v>3950.1</v>
      </c>
      <c r="G241" s="274">
        <f t="shared" si="8"/>
        <v>39.900000000000091</v>
      </c>
      <c r="H241" s="311"/>
      <c r="I241" s="311"/>
      <c r="K241" s="367"/>
    </row>
    <row r="242" spans="1:11" s="366" customFormat="1" ht="33" x14ac:dyDescent="0.25">
      <c r="A242" s="370" t="s">
        <v>165</v>
      </c>
      <c r="B242" s="364" t="s">
        <v>764</v>
      </c>
      <c r="C242" s="61">
        <v>4235.45939</v>
      </c>
      <c r="D242" s="343">
        <v>0</v>
      </c>
      <c r="E242" s="343">
        <v>0</v>
      </c>
      <c r="F242" s="273">
        <f t="shared" si="7"/>
        <v>4193.1047961000004</v>
      </c>
      <c r="G242" s="274">
        <f t="shared" si="8"/>
        <v>42.3545938999996</v>
      </c>
      <c r="H242" s="311"/>
      <c r="I242" s="311"/>
      <c r="K242" s="367"/>
    </row>
    <row r="243" spans="1:11" s="366" customFormat="1" ht="22.5" customHeight="1" x14ac:dyDescent="0.25">
      <c r="A243" s="370" t="s">
        <v>166</v>
      </c>
      <c r="B243" s="364" t="s">
        <v>750</v>
      </c>
      <c r="C243" s="61">
        <v>4360.8514599999999</v>
      </c>
      <c r="D243" s="343">
        <v>0</v>
      </c>
      <c r="E243" s="343">
        <v>0</v>
      </c>
      <c r="F243" s="273">
        <f t="shared" si="7"/>
        <v>4317.2429453999994</v>
      </c>
      <c r="G243" s="274">
        <f t="shared" si="8"/>
        <v>43.60851459999958</v>
      </c>
      <c r="H243" s="311"/>
      <c r="I243" s="311"/>
      <c r="K243" s="367"/>
    </row>
    <row r="244" spans="1:11" s="366" customFormat="1" ht="33" x14ac:dyDescent="0.25">
      <c r="A244" s="370" t="s">
        <v>431</v>
      </c>
      <c r="B244" s="374" t="s">
        <v>768</v>
      </c>
      <c r="C244" s="375">
        <v>22847.629353535354</v>
      </c>
      <c r="D244" s="343">
        <v>0</v>
      </c>
      <c r="E244" s="343">
        <v>0</v>
      </c>
      <c r="F244" s="273">
        <f>C244*0.99</f>
        <v>22619.153060000001</v>
      </c>
      <c r="G244" s="274">
        <f>C244-F244</f>
        <v>228.47629353540106</v>
      </c>
      <c r="H244" s="311"/>
      <c r="I244" s="311"/>
      <c r="K244" s="367"/>
    </row>
    <row r="245" spans="1:11" s="366" customFormat="1" ht="16.5" x14ac:dyDescent="0.25">
      <c r="A245" s="376" t="s">
        <v>454</v>
      </c>
      <c r="B245" s="377" t="s">
        <v>26</v>
      </c>
      <c r="C245" s="273">
        <v>0</v>
      </c>
      <c r="D245" s="273">
        <v>0</v>
      </c>
      <c r="E245" s="273">
        <v>0</v>
      </c>
      <c r="F245" s="273">
        <f t="shared" si="7"/>
        <v>0</v>
      </c>
      <c r="G245" s="346">
        <f>C245-F245</f>
        <v>0</v>
      </c>
      <c r="H245" s="311"/>
      <c r="I245" s="311"/>
      <c r="K245" s="367"/>
    </row>
    <row r="246" spans="1:11" s="366" customFormat="1" ht="39.75" customHeight="1" x14ac:dyDescent="0.25">
      <c r="A246" s="323" t="s">
        <v>455</v>
      </c>
      <c r="B246" s="251" t="s">
        <v>27</v>
      </c>
      <c r="C246" s="273">
        <f>'целевые показатели'!K129</f>
        <v>3444</v>
      </c>
      <c r="D246" s="273">
        <v>0</v>
      </c>
      <c r="E246" s="273">
        <v>0</v>
      </c>
      <c r="F246" s="273">
        <v>0</v>
      </c>
      <c r="G246" s="346">
        <f>C246-F246</f>
        <v>3444</v>
      </c>
      <c r="H246" s="311"/>
      <c r="I246" s="311">
        <v>209942.43187</v>
      </c>
      <c r="J246" s="367">
        <f>I246-C247</f>
        <v>-4262.5170103429991</v>
      </c>
      <c r="K246" s="367"/>
    </row>
    <row r="247" spans="1:11" ht="94.5" x14ac:dyDescent="0.25">
      <c r="A247" s="320">
        <v>3</v>
      </c>
      <c r="B247" s="219" t="s">
        <v>436</v>
      </c>
      <c r="C247" s="321">
        <f>SUM(C248:C255)</f>
        <v>214204.94888034344</v>
      </c>
      <c r="D247" s="321">
        <f>SUM(D248:D255)</f>
        <v>0</v>
      </c>
      <c r="E247" s="321">
        <f>SUM(E248:E255)</f>
        <v>0</v>
      </c>
      <c r="F247" s="321">
        <f>SUM(F248:F255)</f>
        <v>211836.73611904003</v>
      </c>
      <c r="G247" s="322">
        <f>SUM(G248:G255)</f>
        <v>2368.2127613029975</v>
      </c>
      <c r="H247" s="208">
        <f>'целевые показатели'!K137</f>
        <v>214204.94888034344</v>
      </c>
      <c r="I247" s="270"/>
      <c r="J247" s="241">
        <v>215407500</v>
      </c>
      <c r="K247" s="12" t="s">
        <v>642</v>
      </c>
    </row>
    <row r="248" spans="1:11" ht="75" customHeight="1" x14ac:dyDescent="0.25">
      <c r="A248" s="323" t="s">
        <v>68</v>
      </c>
      <c r="B248" s="279" t="str">
        <f>'целевые показатели'!B146</f>
        <v>Ремонт автомобильной дороги города Орла по ул. Городская (проезжая часть), Капитальный ремонт автомобильной дороги города Орла по ул. Городская (прилегающая территория)</v>
      </c>
      <c r="C248" s="273">
        <v>66985.179596000002</v>
      </c>
      <c r="D248" s="273">
        <v>0</v>
      </c>
      <c r="E248" s="273">
        <v>0</v>
      </c>
      <c r="F248" s="273">
        <f t="shared" ref="F248:F254" si="9">C248*0.99</f>
        <v>66315.327800040002</v>
      </c>
      <c r="G248" s="226">
        <f t="shared" ref="G248:G259" si="10">C248-F248</f>
        <v>669.85179595999944</v>
      </c>
      <c r="H248" s="208">
        <v>65008.362999999998</v>
      </c>
      <c r="J248" s="213">
        <f>J247-48042946.02</f>
        <v>167364553.97999999</v>
      </c>
      <c r="K248" s="12"/>
    </row>
    <row r="249" spans="1:11" ht="33" x14ac:dyDescent="0.25">
      <c r="A249" s="323" t="s">
        <v>69</v>
      </c>
      <c r="B249" s="378" t="str">
        <f>'целевые показатели'!B147</f>
        <v>Капитальный ремонт автомобильной дороги города Орла по ул.Михалицына</v>
      </c>
      <c r="C249" s="273">
        <v>102069.92543434343</v>
      </c>
      <c r="D249" s="273">
        <v>0</v>
      </c>
      <c r="E249" s="273">
        <v>0</v>
      </c>
      <c r="F249" s="273">
        <f t="shared" si="9"/>
        <v>101049.22618</v>
      </c>
      <c r="G249" s="226">
        <f t="shared" si="10"/>
        <v>1020.6992543429951</v>
      </c>
      <c r="K249" s="12"/>
    </row>
    <row r="250" spans="1:11" ht="16.5" x14ac:dyDescent="0.25">
      <c r="A250" s="323" t="s">
        <v>70</v>
      </c>
      <c r="B250" s="378" t="s">
        <v>744</v>
      </c>
      <c r="C250" s="61">
        <f>16313.99664+5500</f>
        <v>21813.996639999998</v>
      </c>
      <c r="D250" s="343">
        <v>0</v>
      </c>
      <c r="E250" s="343">
        <v>0</v>
      </c>
      <c r="F250" s="273">
        <f t="shared" si="9"/>
        <v>21595.856673599996</v>
      </c>
      <c r="G250" s="274">
        <f>C250-F250</f>
        <v>218.13996640000187</v>
      </c>
      <c r="K250" s="12"/>
    </row>
    <row r="251" spans="1:11" ht="33" x14ac:dyDescent="0.25">
      <c r="A251" s="379" t="s">
        <v>71</v>
      </c>
      <c r="B251" s="378" t="s">
        <v>869</v>
      </c>
      <c r="C251" s="61">
        <v>2468.0076899999999</v>
      </c>
      <c r="D251" s="343">
        <v>0</v>
      </c>
      <c r="E251" s="343">
        <v>0</v>
      </c>
      <c r="F251" s="273">
        <f t="shared" si="9"/>
        <v>2443.3276130999998</v>
      </c>
      <c r="G251" s="274">
        <f>C251-F251</f>
        <v>24.680076900000131</v>
      </c>
      <c r="K251" s="12"/>
    </row>
    <row r="252" spans="1:11" ht="33" x14ac:dyDescent="0.25">
      <c r="A252" s="323" t="s">
        <v>72</v>
      </c>
      <c r="B252" s="378" t="s">
        <v>874</v>
      </c>
      <c r="C252" s="61">
        <v>8655.0218600000007</v>
      </c>
      <c r="D252" s="343">
        <v>0</v>
      </c>
      <c r="E252" s="343">
        <v>0</v>
      </c>
      <c r="F252" s="273">
        <f t="shared" si="9"/>
        <v>8568.4716414000013</v>
      </c>
      <c r="G252" s="274">
        <f>C252-F252</f>
        <v>86.550218600001244</v>
      </c>
      <c r="K252" s="12"/>
    </row>
    <row r="253" spans="1:11" ht="16.5" x14ac:dyDescent="0.25">
      <c r="A253" s="323" t="s">
        <v>493</v>
      </c>
      <c r="B253" s="378" t="s">
        <v>751</v>
      </c>
      <c r="C253" s="61">
        <v>11984.369909999999</v>
      </c>
      <c r="D253" s="343">
        <v>0</v>
      </c>
      <c r="E253" s="343">
        <v>0</v>
      </c>
      <c r="F253" s="273">
        <f t="shared" si="9"/>
        <v>11864.5262109</v>
      </c>
      <c r="G253" s="274">
        <f>C253-F253</f>
        <v>119.84369909999987</v>
      </c>
      <c r="K253" s="12"/>
    </row>
    <row r="254" spans="1:11" ht="16.5" x14ac:dyDescent="0.25">
      <c r="A254" s="323" t="s">
        <v>494</v>
      </c>
      <c r="B254" s="279" t="s">
        <v>26</v>
      </c>
      <c r="C254" s="273">
        <v>0</v>
      </c>
      <c r="D254" s="273">
        <v>0</v>
      </c>
      <c r="E254" s="273">
        <v>0</v>
      </c>
      <c r="F254" s="273">
        <f t="shared" si="9"/>
        <v>0</v>
      </c>
      <c r="G254" s="226">
        <f t="shared" si="10"/>
        <v>0</v>
      </c>
      <c r="I254" s="380"/>
      <c r="J254" s="307"/>
      <c r="K254" s="12"/>
    </row>
    <row r="255" spans="1:11" ht="33" x14ac:dyDescent="0.25">
      <c r="A255" s="323" t="s">
        <v>873</v>
      </c>
      <c r="B255" s="251" t="s">
        <v>27</v>
      </c>
      <c r="C255" s="273">
        <v>228.44775000000001</v>
      </c>
      <c r="D255" s="273">
        <v>0</v>
      </c>
      <c r="E255" s="273">
        <v>0</v>
      </c>
      <c r="F255" s="273">
        <v>0</v>
      </c>
      <c r="G255" s="226">
        <f>C255-F255</f>
        <v>228.44775000000001</v>
      </c>
      <c r="H255" s="270" t="s">
        <v>158</v>
      </c>
      <c r="K255" s="12"/>
    </row>
    <row r="256" spans="1:11" s="307" customFormat="1" ht="49.5" x14ac:dyDescent="0.25">
      <c r="A256" s="381">
        <v>4</v>
      </c>
      <c r="B256" s="308" t="s">
        <v>13</v>
      </c>
      <c r="C256" s="321">
        <f>SUM(C257:C259)</f>
        <v>1300</v>
      </c>
      <c r="D256" s="321">
        <f>SUM(D257:D259)</f>
        <v>0</v>
      </c>
      <c r="E256" s="321">
        <f>SUM(E257:E259)</f>
        <v>0</v>
      </c>
      <c r="F256" s="321">
        <f>SUM(F257:F259)</f>
        <v>0</v>
      </c>
      <c r="G256" s="351">
        <f>SUM(G257:G259)</f>
        <v>1300</v>
      </c>
      <c r="H256" s="382">
        <f>'целевые показатели'!K167</f>
        <v>1300</v>
      </c>
      <c r="I256" s="208"/>
      <c r="J256" s="207">
        <v>10463.497370000001</v>
      </c>
      <c r="K256" s="383"/>
    </row>
    <row r="257" spans="1:15" ht="33" x14ac:dyDescent="0.25">
      <c r="A257" s="323" t="s">
        <v>383</v>
      </c>
      <c r="B257" s="251" t="s">
        <v>146</v>
      </c>
      <c r="C257" s="273">
        <f>'целевые показатели'!K170</f>
        <v>451</v>
      </c>
      <c r="D257" s="273">
        <v>0</v>
      </c>
      <c r="E257" s="273">
        <v>0</v>
      </c>
      <c r="F257" s="273">
        <v>0</v>
      </c>
      <c r="G257" s="226">
        <f t="shared" si="10"/>
        <v>451</v>
      </c>
      <c r="H257" s="270" t="s">
        <v>158</v>
      </c>
      <c r="K257" s="12"/>
    </row>
    <row r="258" spans="1:15" ht="33" x14ac:dyDescent="0.25">
      <c r="A258" s="323" t="s">
        <v>423</v>
      </c>
      <c r="B258" s="251" t="s">
        <v>147</v>
      </c>
      <c r="C258" s="273">
        <f>'целевые показатели'!K171</f>
        <v>0</v>
      </c>
      <c r="D258" s="273">
        <v>0</v>
      </c>
      <c r="E258" s="273">
        <v>0</v>
      </c>
      <c r="F258" s="273">
        <v>0</v>
      </c>
      <c r="G258" s="226">
        <f t="shared" si="10"/>
        <v>0</v>
      </c>
      <c r="H258" s="270" t="s">
        <v>158</v>
      </c>
      <c r="K258" s="12"/>
    </row>
    <row r="259" spans="1:15" ht="16.5" x14ac:dyDescent="0.25">
      <c r="A259" s="323" t="s">
        <v>424</v>
      </c>
      <c r="B259" s="251" t="s">
        <v>321</v>
      </c>
      <c r="C259" s="273">
        <f>'целевые показатели'!K193</f>
        <v>849</v>
      </c>
      <c r="D259" s="273">
        <v>0</v>
      </c>
      <c r="E259" s="273">
        <v>0</v>
      </c>
      <c r="F259" s="273">
        <v>0</v>
      </c>
      <c r="G259" s="226">
        <f t="shared" si="10"/>
        <v>849</v>
      </c>
      <c r="H259" s="270" t="s">
        <v>158</v>
      </c>
      <c r="K259" s="12"/>
    </row>
    <row r="260" spans="1:15" ht="110.25" x14ac:dyDescent="0.25">
      <c r="A260" s="320">
        <v>5</v>
      </c>
      <c r="B260" s="303" t="s">
        <v>437</v>
      </c>
      <c r="C260" s="321">
        <f>SUM(D260:G260)</f>
        <v>27015.85859</v>
      </c>
      <c r="D260" s="321">
        <f>'целевые показатели'!K207</f>
        <v>26478.2</v>
      </c>
      <c r="E260" s="321">
        <v>0</v>
      </c>
      <c r="F260" s="321">
        <f>'целевые показатели'!K208</f>
        <v>267.5</v>
      </c>
      <c r="G260" s="351">
        <f>'целевые показатели'!K209</f>
        <v>270.15859</v>
      </c>
      <c r="H260" s="270">
        <f>'целевые показатели'!K204</f>
        <v>27015.85859</v>
      </c>
      <c r="I260" s="208">
        <v>54879.18778</v>
      </c>
      <c r="K260" s="12"/>
    </row>
    <row r="261" spans="1:15" ht="60" customHeight="1" x14ac:dyDescent="0.25">
      <c r="A261" s="320">
        <v>6</v>
      </c>
      <c r="B261" s="303" t="s">
        <v>11</v>
      </c>
      <c r="C261" s="321">
        <f>SUM(C262)</f>
        <v>600</v>
      </c>
      <c r="D261" s="321">
        <f>SUM(D262)</f>
        <v>0</v>
      </c>
      <c r="E261" s="321">
        <f>SUM(E262)</f>
        <v>0</v>
      </c>
      <c r="F261" s="321">
        <f>SUM(F262)</f>
        <v>0</v>
      </c>
      <c r="G261" s="322">
        <f>SUM(G262)</f>
        <v>600</v>
      </c>
      <c r="H261" s="270"/>
      <c r="K261" s="12"/>
    </row>
    <row r="262" spans="1:15" ht="66" x14ac:dyDescent="0.25">
      <c r="A262" s="384" t="s">
        <v>187</v>
      </c>
      <c r="B262" s="385" t="s">
        <v>295</v>
      </c>
      <c r="C262" s="273">
        <f>D262+E262+F262+G262</f>
        <v>600</v>
      </c>
      <c r="D262" s="273">
        <v>0</v>
      </c>
      <c r="E262" s="273">
        <v>0</v>
      </c>
      <c r="F262" s="273">
        <v>0</v>
      </c>
      <c r="G262" s="269">
        <v>600</v>
      </c>
      <c r="H262" s="270" t="s">
        <v>726</v>
      </c>
      <c r="K262" s="12"/>
    </row>
    <row r="263" spans="1:15" x14ac:dyDescent="0.25">
      <c r="A263" s="320">
        <v>7</v>
      </c>
      <c r="B263" s="303" t="str">
        <f>'целевые показатели'!B231</f>
        <v>Строительство объектов УДС города Орла</v>
      </c>
      <c r="C263" s="321">
        <f>SUM(C264)</f>
        <v>170.17606000000001</v>
      </c>
      <c r="D263" s="321">
        <f>SUM(D264)</f>
        <v>0</v>
      </c>
      <c r="E263" s="321">
        <f>SUM(E264)</f>
        <v>0</v>
      </c>
      <c r="F263" s="321">
        <f>SUM(F264)</f>
        <v>0</v>
      </c>
      <c r="G263" s="322">
        <f>SUM(G264)</f>
        <v>170.17606000000001</v>
      </c>
      <c r="H263" s="270"/>
      <c r="K263" s="12"/>
    </row>
    <row r="264" spans="1:15" s="386" customFormat="1" x14ac:dyDescent="0.25">
      <c r="A264" s="384" t="s">
        <v>314</v>
      </c>
      <c r="B264" s="247" t="str">
        <f>'целевые показатели'!B232</f>
        <v>Реконструкция "Красного моста" в г.Орле</v>
      </c>
      <c r="C264" s="273">
        <f>'целевые показатели'!K232</f>
        <v>170.17606000000001</v>
      </c>
      <c r="D264" s="273">
        <v>0</v>
      </c>
      <c r="E264" s="273">
        <v>0</v>
      </c>
      <c r="F264" s="273">
        <v>0</v>
      </c>
      <c r="G264" s="269">
        <v>170.17606000000001</v>
      </c>
      <c r="H264" s="270" t="s">
        <v>726</v>
      </c>
      <c r="I264" s="311"/>
      <c r="K264" s="387"/>
    </row>
    <row r="265" spans="1:15" ht="33" x14ac:dyDescent="0.25">
      <c r="A265" s="320">
        <v>8</v>
      </c>
      <c r="B265" s="308" t="s">
        <v>294</v>
      </c>
      <c r="C265" s="321">
        <f>SUM(C266:C332)</f>
        <v>627136.56949788297</v>
      </c>
      <c r="D265" s="321">
        <f>SUM(D266:D332)</f>
        <v>0</v>
      </c>
      <c r="E265" s="321">
        <f>SUM(E266:E332)</f>
        <v>0</v>
      </c>
      <c r="F265" s="388">
        <f>SUM(F266:F332)-0.00001</f>
        <v>617425.19286770409</v>
      </c>
      <c r="G265" s="322">
        <f>SUM(G266:G332)</f>
        <v>9711.376620178793</v>
      </c>
      <c r="H265" s="208">
        <f>'целевые показатели'!K239</f>
        <v>627136.56949288305</v>
      </c>
      <c r="I265" s="208">
        <f>627136.56952-C265</f>
        <v>2.2117048501968384E-5</v>
      </c>
      <c r="J265" s="208">
        <v>6791.2045221171602</v>
      </c>
      <c r="K265" s="12"/>
      <c r="N265" s="207">
        <v>300</v>
      </c>
      <c r="O265" s="207">
        <v>300</v>
      </c>
    </row>
    <row r="266" spans="1:15" s="389" customFormat="1" ht="137.25" customHeight="1" x14ac:dyDescent="0.25">
      <c r="A266" s="390" t="s">
        <v>799</v>
      </c>
      <c r="B266" s="251" t="str">
        <f>'целевые показатели'!B250</f>
        <v>Капитальный ремонт улично-дорожной сети города Орла по ул.Салтыкова-Щедрина с территорией прилегающих улиц (ул. 7 Ноября от д.№8 до д.№9 по ул. Салтыкова-Щедрина, ул. Тургенева от ул. Салтыкова-Щедрина ло ул. Октябрьская, ул. Брестская от ул. Максима Горького до ул. Салтыкова-Щедрина, ул. Полесская от ул. Салтыкова-Щедрина до ул. Октябрьская, ул. Гуртьева от д. №2 до ул. Максима Горького, ул. Красноармейская от д.№4 до д.№6) (корректировка)</v>
      </c>
      <c r="C266" s="273">
        <f>'целевые показатели'!K250</f>
        <v>186108.02</v>
      </c>
      <c r="D266" s="273">
        <v>0</v>
      </c>
      <c r="E266" s="273">
        <v>0</v>
      </c>
      <c r="F266" s="273">
        <f>C266*0.99</f>
        <v>184246.93979999999</v>
      </c>
      <c r="G266" s="274">
        <f>C266-F266</f>
        <v>1861.0801999999967</v>
      </c>
      <c r="H266" s="311" t="s">
        <v>742</v>
      </c>
      <c r="I266" s="311"/>
      <c r="J266" s="391">
        <f>F265+F232</f>
        <v>748214.16404230392</v>
      </c>
      <c r="K266" s="391"/>
    </row>
    <row r="267" spans="1:15" s="389" customFormat="1" ht="16.5" x14ac:dyDescent="0.25">
      <c r="A267" s="390" t="s">
        <v>800</v>
      </c>
      <c r="B267" s="374" t="str">
        <f>'целевые показатели'!B251</f>
        <v>Капитальный ремонт проезда к озеру Светлая жизнь</v>
      </c>
      <c r="C267" s="273">
        <f>'целевые показатели'!K251</f>
        <v>38811.052126304698</v>
      </c>
      <c r="D267" s="273">
        <v>0</v>
      </c>
      <c r="E267" s="273">
        <v>0</v>
      </c>
      <c r="F267" s="273">
        <f t="shared" ref="F267:F331" si="11">C267*0.99</f>
        <v>38422.941605041648</v>
      </c>
      <c r="G267" s="274">
        <f t="shared" ref="G267:G332" si="12">C267-F267</f>
        <v>388.1105212629991</v>
      </c>
      <c r="H267" s="311"/>
      <c r="I267" s="352">
        <f>F265+F232</f>
        <v>748214.16404230392</v>
      </c>
      <c r="J267" s="391">
        <v>762636.4</v>
      </c>
      <c r="K267" s="391"/>
      <c r="L267" s="391">
        <f>148753944.67/1000</f>
        <v>148753.94467</v>
      </c>
      <c r="M267" s="392" t="s">
        <v>753</v>
      </c>
    </row>
    <row r="268" spans="1:15" s="389" customFormat="1" ht="90" customHeight="1" x14ac:dyDescent="0.25">
      <c r="A268" s="390" t="s">
        <v>801</v>
      </c>
      <c r="B268" s="251" t="str">
        <f>'целевые показатели'!B252</f>
        <v>Капитальный ремонт автомобильной дороги по ул.Комсомольская от Карачевского шоссе до Кромского шоссе (прилегающая территория). Капитальный  ремонт автомобильной дороги по ул.Комсомольская от Карачевского шоссе до Кромского шоссе (проезжая часть) (завершение).</v>
      </c>
      <c r="C268" s="273">
        <f>'целевые показатели'!K252</f>
        <v>22038.451979797952</v>
      </c>
      <c r="D268" s="273">
        <v>0</v>
      </c>
      <c r="E268" s="273">
        <v>0</v>
      </c>
      <c r="F268" s="273">
        <f t="shared" si="11"/>
        <v>21818.067459999973</v>
      </c>
      <c r="G268" s="274">
        <f t="shared" si="12"/>
        <v>220.38451979800084</v>
      </c>
      <c r="H268" s="311" t="s">
        <v>735</v>
      </c>
      <c r="I268" s="311"/>
      <c r="J268" s="391"/>
      <c r="K268" s="391"/>
    </row>
    <row r="269" spans="1:15" s="389" customFormat="1" ht="47.25" customHeight="1" x14ac:dyDescent="0.25">
      <c r="A269" s="390" t="s">
        <v>802</v>
      </c>
      <c r="B269" s="374" t="str">
        <f>'целевые показатели'!B253</f>
        <v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v>
      </c>
      <c r="C269" s="273">
        <v>58829.627973030307</v>
      </c>
      <c r="D269" s="273">
        <v>0</v>
      </c>
      <c r="E269" s="273">
        <v>0</v>
      </c>
      <c r="F269" s="273">
        <f t="shared" si="11"/>
        <v>58241.331693300002</v>
      </c>
      <c r="G269" s="274">
        <f t="shared" si="12"/>
        <v>588.2962797302971</v>
      </c>
      <c r="H269" s="311"/>
      <c r="I269" s="273"/>
      <c r="J269" s="391"/>
      <c r="K269" s="391"/>
      <c r="L269" s="393">
        <v>480431887.72000003</v>
      </c>
      <c r="M269" s="394"/>
    </row>
    <row r="270" spans="1:15" s="389" customFormat="1" ht="33" x14ac:dyDescent="0.25">
      <c r="A270" s="395" t="s">
        <v>803</v>
      </c>
      <c r="B270" s="396" t="str">
        <f>'целевые показатели'!B257</f>
        <v>Капитальный ремонт автомобильных дорог города Орла на улицах частной жилой застройки: ул. Полевая</v>
      </c>
      <c r="C270" s="397">
        <f>8317.18777/2</f>
        <v>4158.5938850000002</v>
      </c>
      <c r="D270" s="397">
        <v>0</v>
      </c>
      <c r="E270" s="397">
        <v>0</v>
      </c>
      <c r="F270" s="397">
        <f t="shared" si="11"/>
        <v>4117.00794615</v>
      </c>
      <c r="G270" s="398">
        <f t="shared" si="12"/>
        <v>41.585938850000275</v>
      </c>
      <c r="H270" s="311"/>
      <c r="I270" s="311"/>
      <c r="J270" s="391"/>
      <c r="K270" s="391"/>
      <c r="L270" s="393">
        <f>[1]Лист3!$F19</f>
        <v>25000000</v>
      </c>
      <c r="M270" s="394"/>
    </row>
    <row r="271" spans="1:15" s="389" customFormat="1" ht="33" x14ac:dyDescent="0.25">
      <c r="A271" s="390" t="s">
        <v>804</v>
      </c>
      <c r="B271" s="374" t="str">
        <f>'целевые показатели'!B258</f>
        <v>Капитальный ремонт автомобильных дорог города Орла на улицах частной жилой застройки: ул. Высокая</v>
      </c>
      <c r="C271" s="273">
        <f>8175.53577/2</f>
        <v>4087.7678850000002</v>
      </c>
      <c r="D271" s="273">
        <v>0</v>
      </c>
      <c r="E271" s="273">
        <v>0</v>
      </c>
      <c r="F271" s="273">
        <f t="shared" si="11"/>
        <v>4046.8902061500003</v>
      </c>
      <c r="G271" s="274">
        <f t="shared" si="12"/>
        <v>40.877678850000393</v>
      </c>
      <c r="H271" s="311"/>
      <c r="I271" s="311"/>
      <c r="J271" s="391"/>
      <c r="K271" s="391"/>
      <c r="L271" s="393">
        <f>[1]Лист3!$F20</f>
        <v>54869187.780000001</v>
      </c>
      <c r="M271" s="394"/>
    </row>
    <row r="272" spans="1:15" s="389" customFormat="1" ht="33" x14ac:dyDescent="0.25">
      <c r="A272" s="390" t="s">
        <v>805</v>
      </c>
      <c r="B272" s="374" t="str">
        <f>'целевые показатели'!B259</f>
        <v>Капитальный ремонт автомобильных дорог города Орла на улицах частной жилой застройки: ул.Радищева</v>
      </c>
      <c r="C272" s="273">
        <f>8246.36177/2</f>
        <v>4123.1808849999998</v>
      </c>
      <c r="D272" s="273">
        <v>0</v>
      </c>
      <c r="E272" s="273">
        <v>0</v>
      </c>
      <c r="F272" s="273">
        <f t="shared" si="11"/>
        <v>4081.9490761499997</v>
      </c>
      <c r="G272" s="274">
        <f t="shared" si="12"/>
        <v>41.231808849999652</v>
      </c>
      <c r="H272" s="311"/>
      <c r="I272" s="311"/>
      <c r="J272" s="391"/>
      <c r="K272" s="391"/>
      <c r="L272" s="393">
        <v>48042946.020000003</v>
      </c>
      <c r="M272" s="394"/>
    </row>
    <row r="273" spans="1:13" s="389" customFormat="1" ht="33" x14ac:dyDescent="0.25">
      <c r="A273" s="390" t="s">
        <v>806</v>
      </c>
      <c r="B273" s="374" t="str">
        <f>'целевые показатели'!B260</f>
        <v>Капитальный ремонт автомобильных дорог города Орла на улицах частной жилой застройки: ул.Волжская</v>
      </c>
      <c r="C273" s="273">
        <f>8246.36177/2</f>
        <v>4123.1808849999998</v>
      </c>
      <c r="D273" s="273">
        <v>0</v>
      </c>
      <c r="E273" s="273">
        <v>0</v>
      </c>
      <c r="F273" s="273">
        <f t="shared" si="11"/>
        <v>4081.9490761499997</v>
      </c>
      <c r="G273" s="274">
        <f t="shared" si="12"/>
        <v>41.231808849999652</v>
      </c>
      <c r="H273" s="311"/>
      <c r="I273" s="311"/>
      <c r="K273" s="391"/>
      <c r="L273" s="393">
        <f>[1]Лист3!$F22</f>
        <v>22619153.066399999</v>
      </c>
    </row>
    <row r="274" spans="1:13" s="389" customFormat="1" ht="33" x14ac:dyDescent="0.25">
      <c r="A274" s="390" t="s">
        <v>807</v>
      </c>
      <c r="B274" s="374" t="str">
        <f>'целевые показатели'!B261</f>
        <v>Капитальный ремонт автомобильных дорог города Орла на улицах частной жилой застройки: ул.Гвардейская</v>
      </c>
      <c r="C274" s="273">
        <f>11151.77043/2-0.00001</f>
        <v>5575.8852050000005</v>
      </c>
      <c r="D274" s="273">
        <v>0</v>
      </c>
      <c r="E274" s="273">
        <v>0</v>
      </c>
      <c r="F274" s="273">
        <f>C274*0.99+0.00001</f>
        <v>5520.1263629499999</v>
      </c>
      <c r="G274" s="274">
        <f>C274-F274+0.00001</f>
        <v>55.758852050000606</v>
      </c>
      <c r="H274" s="311"/>
      <c r="I274" s="311"/>
      <c r="K274" s="391"/>
      <c r="L274" s="393">
        <f>[1]Лист3!$F23</f>
        <v>7503280.7401999999</v>
      </c>
    </row>
    <row r="275" spans="1:13" s="389" customFormat="1" ht="33" x14ac:dyDescent="0.25">
      <c r="A275" s="390" t="s">
        <v>808</v>
      </c>
      <c r="B275" s="374" t="str">
        <f>'целевые показатели'!B262</f>
        <v>Капитальный ремонт автомобильных дорог города Орла на улицах частной жилой застройки: пер.Южный 3 участок</v>
      </c>
      <c r="C275" s="273">
        <f>6362.39023/2+1107.7322-0.00001</f>
        <v>4288.9273050000002</v>
      </c>
      <c r="D275" s="273">
        <v>0</v>
      </c>
      <c r="E275" s="273">
        <v>0</v>
      </c>
      <c r="F275" s="273">
        <f t="shared" si="11"/>
        <v>4246.03803195</v>
      </c>
      <c r="G275" s="274">
        <f>C275-F275+0.00001</f>
        <v>42.889283050000202</v>
      </c>
      <c r="H275" s="311"/>
      <c r="I275" s="311"/>
      <c r="K275" s="391"/>
      <c r="L275" s="399">
        <f>SUM(L270:L274)</f>
        <v>158034567.60660002</v>
      </c>
    </row>
    <row r="276" spans="1:13" ht="33" x14ac:dyDescent="0.25">
      <c r="A276" s="390" t="s">
        <v>809</v>
      </c>
      <c r="B276" s="374" t="str">
        <f>'целевые показатели'!B263</f>
        <v>Капитальный ремонт автомобильных дорог города Орла на улицах частной жилой застройки: ул.Елецкая</v>
      </c>
      <c r="C276" s="273">
        <f>'целевые показатели'!K263</f>
        <v>15783.4701</v>
      </c>
      <c r="D276" s="273">
        <v>0</v>
      </c>
      <c r="E276" s="273">
        <v>0</v>
      </c>
      <c r="F276" s="273">
        <f t="shared" si="11"/>
        <v>15625.635399000001</v>
      </c>
      <c r="G276" s="274">
        <f t="shared" si="12"/>
        <v>157.83470099999977</v>
      </c>
      <c r="H276" s="208" t="s">
        <v>636</v>
      </c>
      <c r="I276" s="270"/>
      <c r="J276" s="242"/>
      <c r="K276" s="12">
        <v>349817.2</v>
      </c>
      <c r="M276" s="253"/>
    </row>
    <row r="277" spans="1:13" ht="33" x14ac:dyDescent="0.25">
      <c r="A277" s="390" t="s">
        <v>810</v>
      </c>
      <c r="B277" s="374" t="str">
        <f>'целевые показатели'!B264</f>
        <v>Капитальный ремонт автомобильных дорог города Орла на улицах частной жилой застройки: ул.Серпуховская</v>
      </c>
      <c r="C277" s="273">
        <f>'целевые показатели'!K264</f>
        <v>14205.123089999997</v>
      </c>
      <c r="D277" s="273">
        <v>0</v>
      </c>
      <c r="E277" s="273">
        <v>0</v>
      </c>
      <c r="F277" s="273">
        <f t="shared" si="11"/>
        <v>14063.071859099997</v>
      </c>
      <c r="G277" s="274">
        <f t="shared" si="12"/>
        <v>142.0512308999987</v>
      </c>
      <c r="H277" s="208" t="s">
        <v>636</v>
      </c>
      <c r="J277" s="12"/>
      <c r="K277" s="12">
        <v>289745.90000000002</v>
      </c>
      <c r="L277" s="12">
        <f>K276-K277</f>
        <v>60071.299999999988</v>
      </c>
      <c r="M277" s="207" t="s">
        <v>638</v>
      </c>
    </row>
    <row r="278" spans="1:13" ht="38.25" customHeight="1" x14ac:dyDescent="0.25">
      <c r="A278" s="390" t="s">
        <v>811</v>
      </c>
      <c r="B278" s="374" t="str">
        <f>'целевые показатели'!B265</f>
        <v>Капитальный ремонт автомобильных дорог города Орла на улицах частной жилой застройки: пер.Приокский-ул.Отрадная</v>
      </c>
      <c r="C278" s="273">
        <f>'целевые показатели'!K265</f>
        <v>5800.4252617499997</v>
      </c>
      <c r="D278" s="273">
        <v>0</v>
      </c>
      <c r="E278" s="273">
        <v>0</v>
      </c>
      <c r="F278" s="273">
        <f t="shared" si="11"/>
        <v>5742.4210091324994</v>
      </c>
      <c r="G278" s="274">
        <f t="shared" si="12"/>
        <v>58.004252617499333</v>
      </c>
      <c r="H278" s="208" t="s">
        <v>735</v>
      </c>
      <c r="J278" s="12"/>
      <c r="K278" s="12"/>
      <c r="L278" s="207" t="s">
        <v>639</v>
      </c>
    </row>
    <row r="279" spans="1:13" ht="33" x14ac:dyDescent="0.25">
      <c r="A279" s="390" t="s">
        <v>812</v>
      </c>
      <c r="B279" s="374" t="str">
        <f>'целевые показатели'!B266</f>
        <v>Капитальный ремонт автомобильных дорог города Орла на улицах частной жилой застройки: ул.Приокская</v>
      </c>
      <c r="C279" s="273">
        <f>'целевые показатели'!K266</f>
        <v>2635.8395066999997</v>
      </c>
      <c r="D279" s="273">
        <v>0</v>
      </c>
      <c r="E279" s="273">
        <v>0</v>
      </c>
      <c r="F279" s="273">
        <f t="shared" si="11"/>
        <v>2609.4811116329997</v>
      </c>
      <c r="G279" s="274">
        <f t="shared" si="12"/>
        <v>26.358395066999947</v>
      </c>
      <c r="H279" s="208" t="s">
        <v>735</v>
      </c>
      <c r="J279" s="400"/>
      <c r="K279" s="357">
        <v>14314.78772</v>
      </c>
      <c r="L279" s="207" t="s">
        <v>641</v>
      </c>
    </row>
    <row r="280" spans="1:13" ht="33" x14ac:dyDescent="0.25">
      <c r="A280" s="390" t="s">
        <v>813</v>
      </c>
      <c r="B280" s="374" t="str">
        <f>'целевые показатели'!B267</f>
        <v>Капитальный ремонт автомобильных дорог города Орла на улицах частной жилой застройки: ул.Скульптурная</v>
      </c>
      <c r="C280" s="273">
        <f>'целевые показатели'!K267</f>
        <v>8680.908555</v>
      </c>
      <c r="D280" s="273">
        <v>0</v>
      </c>
      <c r="E280" s="273">
        <v>0</v>
      </c>
      <c r="F280" s="273">
        <f t="shared" si="11"/>
        <v>8594.0994694500005</v>
      </c>
      <c r="G280" s="274">
        <f t="shared" si="12"/>
        <v>86.809085549999509</v>
      </c>
      <c r="H280" s="208" t="s">
        <v>735</v>
      </c>
      <c r="K280" s="12">
        <v>324970</v>
      </c>
      <c r="L280" s="401">
        <f>SUM(J279:K279)</f>
        <v>14314.78772</v>
      </c>
      <c r="M280" s="207" t="s">
        <v>642</v>
      </c>
    </row>
    <row r="281" spans="1:13" ht="33" x14ac:dyDescent="0.25">
      <c r="A281" s="390" t="s">
        <v>814</v>
      </c>
      <c r="B281" s="374" t="str">
        <f>'целевые показатели'!B268</f>
        <v>Капитальный ремонт автомобильных дорог города Орла на улицах частной жилой застройки: ул.Менделеева</v>
      </c>
      <c r="C281" s="273">
        <f>'целевые показатели'!K268</f>
        <v>7086.7780749000003</v>
      </c>
      <c r="D281" s="273">
        <v>0</v>
      </c>
      <c r="E281" s="273">
        <v>0</v>
      </c>
      <c r="F281" s="273">
        <f t="shared" si="11"/>
        <v>7015.910294151</v>
      </c>
      <c r="G281" s="274">
        <f t="shared" si="12"/>
        <v>70.867780749000303</v>
      </c>
      <c r="H281" s="208" t="s">
        <v>735</v>
      </c>
      <c r="J281" s="12">
        <f>F232+F265</f>
        <v>748214.16404230392</v>
      </c>
      <c r="K281" s="12">
        <f>J281+L267</f>
        <v>896968.10871230403</v>
      </c>
      <c r="L281" s="12"/>
    </row>
    <row r="282" spans="1:13" ht="33" x14ac:dyDescent="0.25">
      <c r="A282" s="390" t="s">
        <v>815</v>
      </c>
      <c r="B282" s="374" t="str">
        <f>'целевые показатели'!B269</f>
        <v>Капитальный ремонт автомобильных дорог города Орла на улицах частной жилой застройки: ул.Яблочная</v>
      </c>
      <c r="C282" s="273">
        <f>'целевые показатели'!K269</f>
        <v>12626.77608</v>
      </c>
      <c r="D282" s="273">
        <v>0</v>
      </c>
      <c r="E282" s="273">
        <v>0</v>
      </c>
      <c r="F282" s="273">
        <f t="shared" si="11"/>
        <v>12500.5083192</v>
      </c>
      <c r="G282" s="274">
        <f t="shared" si="12"/>
        <v>126.26776079999945</v>
      </c>
      <c r="H282" s="208" t="s">
        <v>735</v>
      </c>
      <c r="K282" s="12"/>
    </row>
    <row r="283" spans="1:13" ht="33" x14ac:dyDescent="0.25">
      <c r="A283" s="390" t="s">
        <v>816</v>
      </c>
      <c r="B283" s="374" t="str">
        <f>'целевые показатели'!B270</f>
        <v>Капитальный ремонт автомобильных дорог города Орла на улицах частной жилой застройки: пер.Половецкий</v>
      </c>
      <c r="C283" s="273">
        <f>'целевые показатели'!K270</f>
        <v>9470.0820600000006</v>
      </c>
      <c r="D283" s="273">
        <v>0</v>
      </c>
      <c r="E283" s="273">
        <v>0</v>
      </c>
      <c r="F283" s="273">
        <f t="shared" si="11"/>
        <v>9375.3812393999997</v>
      </c>
      <c r="G283" s="274">
        <f t="shared" si="12"/>
        <v>94.700820600000952</v>
      </c>
      <c r="H283" s="208" t="s">
        <v>735</v>
      </c>
      <c r="K283" s="12"/>
    </row>
    <row r="284" spans="1:13" ht="33" x14ac:dyDescent="0.25">
      <c r="A284" s="390" t="s">
        <v>817</v>
      </c>
      <c r="B284" s="374" t="str">
        <f>'целевые показатели'!B271</f>
        <v>Капитальный ремонт автомобильных дорог города Орла на улицах частной жилой застройки: ул. Полигонная</v>
      </c>
      <c r="C284" s="273">
        <f>'целевые показатели'!K271</f>
        <v>3259.28657565</v>
      </c>
      <c r="D284" s="273">
        <v>0</v>
      </c>
      <c r="E284" s="273">
        <v>0</v>
      </c>
      <c r="F284" s="273">
        <f t="shared" si="11"/>
        <v>3226.6937098935</v>
      </c>
      <c r="G284" s="274">
        <f t="shared" si="12"/>
        <v>32.592865756500032</v>
      </c>
      <c r="H284" s="208" t="s">
        <v>735</v>
      </c>
      <c r="K284" s="12"/>
    </row>
    <row r="285" spans="1:13" ht="33" x14ac:dyDescent="0.25">
      <c r="A285" s="390" t="s">
        <v>818</v>
      </c>
      <c r="B285" s="374" t="str">
        <f>'целевые показатели'!B272</f>
        <v>Капитальный ремонт автомобильных дорог города Орла на улицах частной жилой застройки: ул. Ново-Лужковская</v>
      </c>
      <c r="C285" s="273">
        <f>'целевые показатели'!K272</f>
        <v>3874.8419095499994</v>
      </c>
      <c r="D285" s="273">
        <v>0</v>
      </c>
      <c r="E285" s="273">
        <v>0</v>
      </c>
      <c r="F285" s="273">
        <f t="shared" si="11"/>
        <v>3836.0934904544993</v>
      </c>
      <c r="G285" s="274">
        <f t="shared" si="12"/>
        <v>38.748419095499685</v>
      </c>
      <c r="H285" s="208" t="s">
        <v>735</v>
      </c>
      <c r="I285" s="402"/>
      <c r="K285" s="12"/>
    </row>
    <row r="286" spans="1:13" ht="33" x14ac:dyDescent="0.25">
      <c r="A286" s="390" t="s">
        <v>819</v>
      </c>
      <c r="B286" s="374" t="str">
        <f>'целевые показатели'!B273</f>
        <v>Капитальный ремонт автомобильных дорог города Орла на улицах частной жилой застройки: ул. Магазинная</v>
      </c>
      <c r="C286" s="273">
        <v>5682.0492400000003</v>
      </c>
      <c r="D286" s="273">
        <v>0</v>
      </c>
      <c r="E286" s="273">
        <v>0</v>
      </c>
      <c r="F286" s="273">
        <f t="shared" si="11"/>
        <v>5625.2287476000001</v>
      </c>
      <c r="G286" s="274">
        <f t="shared" si="12"/>
        <v>56.820492400000148</v>
      </c>
      <c r="H286" s="208" t="s">
        <v>636</v>
      </c>
      <c r="K286" s="12"/>
    </row>
    <row r="287" spans="1:13" ht="33" x14ac:dyDescent="0.25">
      <c r="A287" s="390" t="s">
        <v>820</v>
      </c>
      <c r="B287" s="374" t="str">
        <f>'целевые показатели'!B274</f>
        <v>Капитальный ремонт автомобильных дорог города Орла на улицах частной жилой застройки: ул.Турбина</v>
      </c>
      <c r="C287" s="273">
        <f>'целевые показатели'!K274</f>
        <v>2769.9990025499997</v>
      </c>
      <c r="D287" s="273">
        <v>0</v>
      </c>
      <c r="E287" s="273">
        <v>0</v>
      </c>
      <c r="F287" s="273">
        <f t="shared" si="11"/>
        <v>2742.2990125244996</v>
      </c>
      <c r="G287" s="274">
        <f t="shared" si="12"/>
        <v>27.699990025500028</v>
      </c>
      <c r="H287" s="208" t="s">
        <v>735</v>
      </c>
      <c r="K287" s="12"/>
    </row>
    <row r="288" spans="1:13" ht="33" x14ac:dyDescent="0.25">
      <c r="A288" s="390" t="s">
        <v>821</v>
      </c>
      <c r="B288" s="374" t="str">
        <f>'целевые показатели'!B275</f>
        <v>Капитальный ремонт автомобильных дорог города Орла на улицах частной жилой застройки: ул.Кривцова</v>
      </c>
      <c r="C288" s="273">
        <f>'целевые показатели'!K275</f>
        <v>3551.2807724999993</v>
      </c>
      <c r="D288" s="273">
        <v>0</v>
      </c>
      <c r="E288" s="273">
        <v>0</v>
      </c>
      <c r="F288" s="273">
        <f t="shared" si="11"/>
        <v>3515.7679647749992</v>
      </c>
      <c r="G288" s="274">
        <f t="shared" si="12"/>
        <v>35.512807724999675</v>
      </c>
      <c r="H288" s="208" t="s">
        <v>735</v>
      </c>
      <c r="K288" s="12"/>
    </row>
    <row r="289" spans="1:11" ht="33" x14ac:dyDescent="0.25">
      <c r="A289" s="390" t="s">
        <v>822</v>
      </c>
      <c r="B289" s="374" t="str">
        <f>'целевые показатели'!B276</f>
        <v>Капитальный ремонт автомобильных дорог города Орла на улицах частной жилой застройки: пер.Городской</v>
      </c>
      <c r="C289" s="273">
        <f>'целевые показатели'!K276</f>
        <v>4561.4228588999995</v>
      </c>
      <c r="D289" s="273">
        <v>0</v>
      </c>
      <c r="E289" s="273">
        <v>0</v>
      </c>
      <c r="F289" s="273">
        <f t="shared" si="11"/>
        <v>4515.8086303109994</v>
      </c>
      <c r="G289" s="274">
        <f t="shared" si="12"/>
        <v>45.614228589000049</v>
      </c>
      <c r="H289" s="208" t="s">
        <v>735</v>
      </c>
      <c r="K289" s="12"/>
    </row>
    <row r="290" spans="1:11" ht="33" x14ac:dyDescent="0.25">
      <c r="A290" s="390" t="s">
        <v>823</v>
      </c>
      <c r="B290" s="374" t="str">
        <f>'целевые показатели'!B277</f>
        <v>Капитальный ремонт автомобильных дорог города Орла на улицах частной жилой застройки: ул.Линейная</v>
      </c>
      <c r="C290" s="273">
        <f>'целевые показатели'!K277</f>
        <v>7165.6954254000002</v>
      </c>
      <c r="D290" s="273">
        <v>0</v>
      </c>
      <c r="E290" s="273">
        <v>0</v>
      </c>
      <c r="F290" s="273">
        <f t="shared" si="11"/>
        <v>7094.0384711460001</v>
      </c>
      <c r="G290" s="274">
        <f t="shared" si="12"/>
        <v>71.656954254000084</v>
      </c>
      <c r="H290" s="208" t="s">
        <v>735</v>
      </c>
      <c r="K290" s="12"/>
    </row>
    <row r="291" spans="1:11" ht="33" x14ac:dyDescent="0.25">
      <c r="A291" s="390" t="s">
        <v>824</v>
      </c>
      <c r="B291" s="374" t="str">
        <f>'целевые показатели'!B278</f>
        <v>Капитальный ремонт автомобильных дорог города Орла на улицах частной жилой застройки: ул.Степная</v>
      </c>
      <c r="C291" s="273">
        <v>7544.4981699999998</v>
      </c>
      <c r="D291" s="273">
        <v>0</v>
      </c>
      <c r="E291" s="273">
        <v>0</v>
      </c>
      <c r="F291" s="273">
        <f t="shared" si="11"/>
        <v>7469.0531882999994</v>
      </c>
      <c r="G291" s="274">
        <f t="shared" si="12"/>
        <v>75.444981699999516</v>
      </c>
      <c r="H291" s="208" t="s">
        <v>735</v>
      </c>
      <c r="K291" s="12"/>
    </row>
    <row r="292" spans="1:11" ht="33" x14ac:dyDescent="0.25">
      <c r="A292" s="390" t="s">
        <v>825</v>
      </c>
      <c r="B292" s="403" t="str">
        <f>'целевые показатели'!B279</f>
        <v>Капитальный ремонт автомобильных дорог города Орла на улицах частной жилой застройки: ул.Лужковская 2 участок</v>
      </c>
      <c r="C292" s="244">
        <f>'целевые показатели'!K279</f>
        <v>4474.613803350001</v>
      </c>
      <c r="D292" s="244">
        <v>0</v>
      </c>
      <c r="E292" s="244">
        <v>0</v>
      </c>
      <c r="F292" s="244">
        <f>C292*0.99-0.00001</f>
        <v>4429.8676553165005</v>
      </c>
      <c r="G292" s="269">
        <f>C292-F292-0.00001</f>
        <v>44.7461380335005</v>
      </c>
      <c r="H292" s="208" t="s">
        <v>735</v>
      </c>
      <c r="K292" s="12"/>
    </row>
    <row r="293" spans="1:11" ht="33" x14ac:dyDescent="0.25">
      <c r="A293" s="390" t="s">
        <v>826</v>
      </c>
      <c r="B293" s="374" t="str">
        <f>'целевые показатели'!B280</f>
        <v>Капитальный ремонт автомобильных дорог города Орла на улицах частной жилой застройки: ул.Уральская 1 участок</v>
      </c>
      <c r="C293" s="273">
        <f>'целевые показатели'!K280</f>
        <v>2643.7312417500002</v>
      </c>
      <c r="D293" s="273">
        <v>0</v>
      </c>
      <c r="E293" s="273">
        <v>0</v>
      </c>
      <c r="F293" s="273">
        <f t="shared" si="11"/>
        <v>2617.2939293325003</v>
      </c>
      <c r="G293" s="274">
        <f t="shared" si="12"/>
        <v>26.43731241750038</v>
      </c>
      <c r="H293" s="208" t="s">
        <v>735</v>
      </c>
      <c r="K293" s="12"/>
    </row>
    <row r="294" spans="1:11" ht="33" x14ac:dyDescent="0.25">
      <c r="A294" s="404" t="s">
        <v>827</v>
      </c>
      <c r="B294" s="403" t="str">
        <f>'целевые показатели'!B281</f>
        <v>Капитальный ремонт автомобильных дорог города Орла на улицах частной жилой застройки: ул.Мичурина</v>
      </c>
      <c r="C294" s="244">
        <f>'целевые показатели'!K281</f>
        <v>10259.265565</v>
      </c>
      <c r="D294" s="244">
        <v>0</v>
      </c>
      <c r="E294" s="244">
        <v>0</v>
      </c>
      <c r="F294" s="244">
        <f t="shared" si="11"/>
        <v>10156.67290935</v>
      </c>
      <c r="G294" s="269">
        <f t="shared" si="12"/>
        <v>102.59265564999987</v>
      </c>
      <c r="H294" s="208" t="s">
        <v>636</v>
      </c>
      <c r="K294" s="12"/>
    </row>
    <row r="295" spans="1:11" ht="33" x14ac:dyDescent="0.25">
      <c r="A295" s="390" t="s">
        <v>828</v>
      </c>
      <c r="B295" s="374" t="str">
        <f>'целевые показатели'!B282</f>
        <v>Капитальный ремонт автомобильных дорог города Орла на улицах частной жилой застройки: ул. Смоленская 1 участок</v>
      </c>
      <c r="C295" s="273">
        <f>'целевые показатели'!K282</f>
        <v>5074.3856371499996</v>
      </c>
      <c r="D295" s="273">
        <v>0</v>
      </c>
      <c r="E295" s="273">
        <v>0</v>
      </c>
      <c r="F295" s="273">
        <f t="shared" si="11"/>
        <v>5023.6417807784992</v>
      </c>
      <c r="G295" s="274">
        <f t="shared" si="12"/>
        <v>50.743856371499533</v>
      </c>
      <c r="H295" s="208" t="s">
        <v>636</v>
      </c>
      <c r="K295" s="12"/>
    </row>
    <row r="296" spans="1:11" ht="49.5" x14ac:dyDescent="0.25">
      <c r="A296" s="390" t="s">
        <v>829</v>
      </c>
      <c r="B296" s="374" t="str">
        <f>'целевые показатели'!B283</f>
        <v>Капитальный ремонт автомобильных дорог города Орла на улицах частной жилой застройки: ул. 3 Курская от ул. Магазинной до дома 94</v>
      </c>
      <c r="C296" s="273">
        <f>'целевые показатели'!K283</f>
        <v>1167.9767873999999</v>
      </c>
      <c r="D296" s="273">
        <v>0</v>
      </c>
      <c r="E296" s="273">
        <v>0</v>
      </c>
      <c r="F296" s="273">
        <f t="shared" si="11"/>
        <v>1156.297019526</v>
      </c>
      <c r="G296" s="274">
        <f t="shared" si="12"/>
        <v>11.679767873999936</v>
      </c>
      <c r="H296" s="208" t="s">
        <v>636</v>
      </c>
      <c r="K296" s="12"/>
    </row>
    <row r="297" spans="1:11" ht="33" x14ac:dyDescent="0.25">
      <c r="A297" s="390" t="s">
        <v>830</v>
      </c>
      <c r="B297" s="374" t="str">
        <f>'целевые показатели'!B284</f>
        <v>Капитальный ремонт автомобильных дорог города Орла на улицах частной жилой застройки: ул. Дружбы</v>
      </c>
      <c r="C297" s="273">
        <f>'целевые показатели'!K284</f>
        <v>4293.1038671999995</v>
      </c>
      <c r="D297" s="273">
        <v>0</v>
      </c>
      <c r="E297" s="273">
        <v>0</v>
      </c>
      <c r="F297" s="273">
        <f t="shared" si="11"/>
        <v>4250.1728285279996</v>
      </c>
      <c r="G297" s="274">
        <f t="shared" si="12"/>
        <v>42.931038672000795</v>
      </c>
      <c r="H297" s="208" t="s">
        <v>735</v>
      </c>
      <c r="K297" s="12"/>
    </row>
    <row r="298" spans="1:11" ht="30" customHeight="1" x14ac:dyDescent="0.25">
      <c r="A298" s="390" t="s">
        <v>831</v>
      </c>
      <c r="B298" s="374" t="str">
        <f>'целевые показатели'!B285</f>
        <v>Капитальный ремонт автомобильных дорог города Орла на улицах частной жилой застройки: пер. Ковыльный</v>
      </c>
      <c r="C298" s="273">
        <f>'целевые показатели'!K285</f>
        <v>3496.0386271500001</v>
      </c>
      <c r="D298" s="273">
        <v>0</v>
      </c>
      <c r="E298" s="273">
        <v>0</v>
      </c>
      <c r="F298" s="273">
        <f t="shared" si="11"/>
        <v>3461.0782408785003</v>
      </c>
      <c r="G298" s="274">
        <f t="shared" si="12"/>
        <v>34.960386271500283</v>
      </c>
      <c r="H298" s="208" t="s">
        <v>735</v>
      </c>
      <c r="K298" s="12"/>
    </row>
    <row r="299" spans="1:11" ht="33" x14ac:dyDescent="0.25">
      <c r="A299" s="390" t="s">
        <v>832</v>
      </c>
      <c r="B299" s="374" t="str">
        <f>'целевые показатели'!B286</f>
        <v>Капитальный ремонт автомобильных дорог города Орла на улицах частной жилой застройки: пер. Лужковский</v>
      </c>
      <c r="C299" s="273">
        <f>'целевые показатели'!K286</f>
        <v>5634.6988257000003</v>
      </c>
      <c r="D299" s="273">
        <v>0</v>
      </c>
      <c r="E299" s="273">
        <v>0</v>
      </c>
      <c r="F299" s="273">
        <f t="shared" si="11"/>
        <v>5578.3518374430005</v>
      </c>
      <c r="G299" s="274">
        <f t="shared" si="12"/>
        <v>56.346988257000703</v>
      </c>
      <c r="H299" s="208" t="s">
        <v>735</v>
      </c>
      <c r="K299" s="12"/>
    </row>
    <row r="300" spans="1:11" ht="33" x14ac:dyDescent="0.25">
      <c r="A300" s="390" t="s">
        <v>833</v>
      </c>
      <c r="B300" s="374" t="str">
        <f>'целевые показатели'!B287</f>
        <v>Капитальный ремонт автомобильных дорог города Орла на улицах частной жилой застройки: пер. Менделеева</v>
      </c>
      <c r="C300" s="273">
        <f>'целевые показатели'!K287</f>
        <v>1120.6263270999998</v>
      </c>
      <c r="D300" s="273">
        <v>0</v>
      </c>
      <c r="E300" s="273">
        <v>0</v>
      </c>
      <c r="F300" s="273">
        <f>C300*0.99</f>
        <v>1109.4200638289999</v>
      </c>
      <c r="G300" s="274">
        <f>C300-F300+0.00001</f>
        <v>11.206273270999899</v>
      </c>
      <c r="H300" s="208" t="s">
        <v>735</v>
      </c>
      <c r="K300" s="12"/>
    </row>
    <row r="301" spans="1:11" ht="33" x14ac:dyDescent="0.25">
      <c r="A301" s="390" t="s">
        <v>834</v>
      </c>
      <c r="B301" s="374" t="str">
        <f>'целевые показатели'!B288</f>
        <v>Капитальный ремонт автомобильных дорог города Орла на улицах частной жилой застройки: пер. Еловый</v>
      </c>
      <c r="C301" s="273">
        <f>'целевые показатели'!K288</f>
        <v>1262.6776079999997</v>
      </c>
      <c r="D301" s="273">
        <v>0</v>
      </c>
      <c r="E301" s="273">
        <v>0</v>
      </c>
      <c r="F301" s="273">
        <f t="shared" si="11"/>
        <v>1250.0508319199998</v>
      </c>
      <c r="G301" s="274">
        <f t="shared" si="12"/>
        <v>12.6267760799999</v>
      </c>
      <c r="H301" s="208" t="s">
        <v>735</v>
      </c>
      <c r="K301" s="12"/>
    </row>
    <row r="302" spans="1:11" ht="33" x14ac:dyDescent="0.25">
      <c r="A302" s="390" t="s">
        <v>835</v>
      </c>
      <c r="B302" s="374" t="str">
        <f>'целевые показатели'!B289</f>
        <v>Капитальный ремонт автомобильных дорог города Орла на улицах частной жилой застройки: ул. Светлая</v>
      </c>
      <c r="C302" s="273">
        <f>'целевые показатели'!K289</f>
        <v>3685.4402683500002</v>
      </c>
      <c r="D302" s="273">
        <v>0</v>
      </c>
      <c r="E302" s="273">
        <v>0</v>
      </c>
      <c r="F302" s="273">
        <f t="shared" si="11"/>
        <v>3648.5858656665</v>
      </c>
      <c r="G302" s="274">
        <f t="shared" si="12"/>
        <v>36.854402683500211</v>
      </c>
      <c r="H302" s="208" t="s">
        <v>735</v>
      </c>
      <c r="K302" s="12"/>
    </row>
    <row r="303" spans="1:11" ht="33" x14ac:dyDescent="0.25">
      <c r="A303" s="390" t="s">
        <v>836</v>
      </c>
      <c r="B303" s="374" t="str">
        <f>'целевые показатели'!B290</f>
        <v>Капитальный ремонт автомобильных дорог города Орла на улицах частной жилой застройки: пер. Грибной</v>
      </c>
      <c r="C303" s="273">
        <f>'целевые показатели'!K290</f>
        <v>1467.8627192999998</v>
      </c>
      <c r="D303" s="273">
        <v>0</v>
      </c>
      <c r="E303" s="273">
        <v>0</v>
      </c>
      <c r="F303" s="273">
        <f t="shared" si="11"/>
        <v>1453.1840921069997</v>
      </c>
      <c r="G303" s="274">
        <f t="shared" si="12"/>
        <v>14.678627193000011</v>
      </c>
      <c r="H303" s="208" t="s">
        <v>735</v>
      </c>
      <c r="K303" s="12"/>
    </row>
    <row r="304" spans="1:11" ht="53.25" customHeight="1" x14ac:dyDescent="0.25">
      <c r="A304" s="390" t="s">
        <v>837</v>
      </c>
      <c r="B304" s="374" t="str">
        <f>'целевые показатели'!B291</f>
        <v>Капитальный ремонт автомобильных дорог города Орла на улицах частной жилой застройки: ул. 6 Орловской дивизии (на участке от ул. Афонина до ул. Поселковая)</v>
      </c>
      <c r="C304" s="273">
        <f>'целевые показатели'!K291</f>
        <v>3535.4973024000001</v>
      </c>
      <c r="D304" s="273">
        <v>0</v>
      </c>
      <c r="E304" s="273">
        <v>0</v>
      </c>
      <c r="F304" s="273">
        <f t="shared" si="11"/>
        <v>3500.1423293759999</v>
      </c>
      <c r="G304" s="274">
        <f t="shared" si="12"/>
        <v>35.354973024000174</v>
      </c>
      <c r="H304" s="208" t="s">
        <v>735</v>
      </c>
      <c r="K304" s="12"/>
    </row>
    <row r="305" spans="1:11" ht="33" x14ac:dyDescent="0.25">
      <c r="A305" s="390" t="s">
        <v>838</v>
      </c>
      <c r="B305" s="374" t="str">
        <f>'целевые показатели'!B292</f>
        <v>Капитальный ремонт автомобильных дорог города Орла на улицах частной жилой застройки: ул. Заречная</v>
      </c>
      <c r="C305" s="273">
        <f>'целевые показатели'!K292</f>
        <v>7189.37063055</v>
      </c>
      <c r="D305" s="273">
        <v>0</v>
      </c>
      <c r="E305" s="273">
        <v>0</v>
      </c>
      <c r="F305" s="273">
        <f t="shared" si="11"/>
        <v>7117.4769242445</v>
      </c>
      <c r="G305" s="274">
        <f t="shared" si="12"/>
        <v>71.893706305500018</v>
      </c>
      <c r="H305" s="208" t="s">
        <v>735</v>
      </c>
      <c r="K305" s="12"/>
    </row>
    <row r="306" spans="1:11" ht="33" x14ac:dyDescent="0.25">
      <c r="A306" s="390" t="s">
        <v>839</v>
      </c>
      <c r="B306" s="374" t="str">
        <f>'целевые показатели'!B293</f>
        <v>Капитальный ремонт автомобильных дорог города Орла на улицах частной жилой застройки: ул. Тимирязева</v>
      </c>
      <c r="C306" s="273">
        <f>'целевые показатели'!K293</f>
        <v>7670.7664386000006</v>
      </c>
      <c r="D306" s="273">
        <v>0</v>
      </c>
      <c r="E306" s="273">
        <v>0</v>
      </c>
      <c r="F306" s="273">
        <f>C306*0.99</f>
        <v>7594.0587742140006</v>
      </c>
      <c r="G306" s="274">
        <f>C306-F306+0.00001</f>
        <v>76.707674386000008</v>
      </c>
      <c r="H306" s="208" t="s">
        <v>735</v>
      </c>
      <c r="K306" s="12"/>
    </row>
    <row r="307" spans="1:11" ht="33" x14ac:dyDescent="0.25">
      <c r="A307" s="390" t="s">
        <v>840</v>
      </c>
      <c r="B307" s="374" t="str">
        <f>'целевые показатели'!B294</f>
        <v>Капитальный ремонт автомобильных дорог города Орла на улицах частной жилой застройки: ул. Афонина</v>
      </c>
      <c r="C307" s="273">
        <f>'целевые показатели'!K294</f>
        <v>5074.3856371499996</v>
      </c>
      <c r="D307" s="273">
        <v>0</v>
      </c>
      <c r="E307" s="273">
        <v>0</v>
      </c>
      <c r="F307" s="273">
        <f t="shared" si="11"/>
        <v>5023.6417807784992</v>
      </c>
      <c r="G307" s="274">
        <f t="shared" si="12"/>
        <v>50.743856371499533</v>
      </c>
      <c r="H307" s="208" t="s">
        <v>735</v>
      </c>
      <c r="K307" s="12"/>
    </row>
    <row r="308" spans="1:11" ht="33" x14ac:dyDescent="0.25">
      <c r="A308" s="390" t="s">
        <v>841</v>
      </c>
      <c r="B308" s="374" t="str">
        <f>'целевые показатели'!B295</f>
        <v>Капитальный ремонт автомобильных дорог города Орла на улицах частной жилой застройки: пер. Пойменный</v>
      </c>
      <c r="C308" s="273">
        <f>'целевые показатели'!K295</f>
        <v>2754.2155624500001</v>
      </c>
      <c r="D308" s="273">
        <v>0</v>
      </c>
      <c r="E308" s="273">
        <v>0</v>
      </c>
      <c r="F308" s="273">
        <f>C308*0.99-0.00001</f>
        <v>2726.6733968254998</v>
      </c>
      <c r="G308" s="274">
        <f>C308-F308-0.00001</f>
        <v>27.5421556245003</v>
      </c>
      <c r="H308" s="208" t="s">
        <v>735</v>
      </c>
      <c r="I308" s="273">
        <v>4695.5823547500004</v>
      </c>
      <c r="K308" s="12"/>
    </row>
    <row r="309" spans="1:11" ht="33" x14ac:dyDescent="0.25">
      <c r="A309" s="390" t="s">
        <v>842</v>
      </c>
      <c r="B309" s="374" t="str">
        <f>'целевые показатели'!B296</f>
        <v>Капитальный ремонт автомобильных дорог города Орла на улицах частной жилой застройки: пер. Отрадный</v>
      </c>
      <c r="C309" s="273">
        <f>'целевые показатели'!K296</f>
        <v>1191.6519925499999</v>
      </c>
      <c r="D309" s="273">
        <v>0</v>
      </c>
      <c r="E309" s="273">
        <v>0</v>
      </c>
      <c r="F309" s="273">
        <f t="shared" si="11"/>
        <v>1179.7354726244998</v>
      </c>
      <c r="G309" s="274">
        <f t="shared" si="12"/>
        <v>11.91651992549987</v>
      </c>
      <c r="H309" s="208" t="s">
        <v>735</v>
      </c>
      <c r="I309" s="273">
        <v>2612.1643015499999</v>
      </c>
      <c r="K309" s="12"/>
    </row>
    <row r="310" spans="1:11" ht="33" x14ac:dyDescent="0.25">
      <c r="A310" s="390" t="s">
        <v>843</v>
      </c>
      <c r="B310" s="374" t="str">
        <f>'целевые показатели'!B297</f>
        <v>Капитальный ремонт автомобильных дорог города Орла на улицах частной жилой застройки: ул. Пойменная 1 этап</v>
      </c>
      <c r="C310" s="273">
        <f>I308+I309</f>
        <v>7307.7466562999998</v>
      </c>
      <c r="D310" s="273">
        <v>0</v>
      </c>
      <c r="E310" s="273">
        <v>0</v>
      </c>
      <c r="F310" s="273">
        <f t="shared" si="11"/>
        <v>7234.6691897370001</v>
      </c>
      <c r="G310" s="274">
        <f t="shared" si="12"/>
        <v>73.077466562999689</v>
      </c>
      <c r="H310" s="208" t="s">
        <v>735</v>
      </c>
      <c r="I310" s="402"/>
      <c r="K310" s="12"/>
    </row>
    <row r="311" spans="1:11" ht="33" x14ac:dyDescent="0.25">
      <c r="A311" s="390" t="s">
        <v>844</v>
      </c>
      <c r="B311" s="374" t="str">
        <f>'целевые показатели'!B298</f>
        <v>Капитальный ремонт автомобильных дорог города Орла на улицах частной жилой застройки: пер. Преображенского</v>
      </c>
      <c r="C311" s="273">
        <f>'целевые показатели'!K298</f>
        <v>1791.4238563500001</v>
      </c>
      <c r="D311" s="273">
        <v>0</v>
      </c>
      <c r="E311" s="273">
        <v>0</v>
      </c>
      <c r="F311" s="273">
        <f t="shared" si="11"/>
        <v>1773.5096177865</v>
      </c>
      <c r="G311" s="274">
        <f t="shared" si="12"/>
        <v>17.914238563500021</v>
      </c>
      <c r="H311" s="208" t="s">
        <v>735</v>
      </c>
      <c r="K311" s="12"/>
    </row>
    <row r="312" spans="1:11" ht="33" x14ac:dyDescent="0.25">
      <c r="A312" s="390" t="s">
        <v>845</v>
      </c>
      <c r="B312" s="374" t="str">
        <f>'целевые показатели'!B299</f>
        <v>Капитальный ремонт автомобильных дорог города Орла на улицах частной жилой застройки: ул. Радужная</v>
      </c>
      <c r="C312" s="273">
        <f>'целевые показатели'!K299</f>
        <v>4561.4228588999995</v>
      </c>
      <c r="D312" s="273">
        <v>0</v>
      </c>
      <c r="E312" s="273">
        <v>0</v>
      </c>
      <c r="F312" s="273">
        <f t="shared" si="11"/>
        <v>4515.8086303109994</v>
      </c>
      <c r="G312" s="274">
        <f t="shared" si="12"/>
        <v>45.614228589000049</v>
      </c>
      <c r="H312" s="208" t="s">
        <v>735</v>
      </c>
      <c r="K312" s="12"/>
    </row>
    <row r="313" spans="1:11" ht="33" x14ac:dyDescent="0.25">
      <c r="A313" s="390" t="s">
        <v>846</v>
      </c>
      <c r="B313" s="374" t="str">
        <f>'целевые показатели'!B300</f>
        <v>Капитальный ремонт автомобильных дорог города Орла на улицах частной жилой застройки: Равнинный пер.</v>
      </c>
      <c r="C313" s="273">
        <f>'целевые показатели'!K300</f>
        <v>1365.2701636499999</v>
      </c>
      <c r="D313" s="273">
        <v>0</v>
      </c>
      <c r="E313" s="273">
        <v>0</v>
      </c>
      <c r="F313" s="273">
        <f t="shared" si="11"/>
        <v>1351.6174620134998</v>
      </c>
      <c r="G313" s="274">
        <f t="shared" si="12"/>
        <v>13.652701636500069</v>
      </c>
      <c r="H313" s="208" t="s">
        <v>735</v>
      </c>
      <c r="K313" s="12"/>
    </row>
    <row r="314" spans="1:11" ht="33" x14ac:dyDescent="0.25">
      <c r="A314" s="390" t="s">
        <v>847</v>
      </c>
      <c r="B314" s="374" t="str">
        <f>'целевые показатели'!B301</f>
        <v>Капитальный ремонт автомобильных дорог города Орла на улицах частной жилой застройки: пер. Скульптурный</v>
      </c>
      <c r="C314" s="273">
        <f>'целевые показатели'!K301</f>
        <v>1049.6007616500001</v>
      </c>
      <c r="D314" s="273">
        <v>0</v>
      </c>
      <c r="E314" s="273">
        <v>0</v>
      </c>
      <c r="F314" s="273">
        <f t="shared" si="11"/>
        <v>1039.1047540335001</v>
      </c>
      <c r="G314" s="274">
        <f t="shared" si="12"/>
        <v>10.496007616500037</v>
      </c>
      <c r="H314" s="208" t="s">
        <v>735</v>
      </c>
      <c r="K314" s="12"/>
    </row>
    <row r="315" spans="1:11" ht="33" x14ac:dyDescent="0.25">
      <c r="A315" s="390" t="s">
        <v>848</v>
      </c>
      <c r="B315" s="374" t="str">
        <f>'целевые показатели'!B302</f>
        <v>Капитальный ремонт автомобильных дорог города Орла на улицах частной жилой застройки: пер. Проходной</v>
      </c>
      <c r="C315" s="273">
        <f>'целевые показатели'!K302</f>
        <v>970.68341114999998</v>
      </c>
      <c r="D315" s="273">
        <v>0</v>
      </c>
      <c r="E315" s="273">
        <v>0</v>
      </c>
      <c r="F315" s="273">
        <f t="shared" si="11"/>
        <v>960.97657703849995</v>
      </c>
      <c r="G315" s="274">
        <f t="shared" si="12"/>
        <v>9.7068341115000294</v>
      </c>
      <c r="H315" s="208" t="s">
        <v>735</v>
      </c>
      <c r="K315" s="12"/>
    </row>
    <row r="316" spans="1:11" ht="33" x14ac:dyDescent="0.25">
      <c r="A316" s="390" t="s">
        <v>849</v>
      </c>
      <c r="B316" s="374" t="str">
        <f>'целевые показатели'!B303</f>
        <v>Капитальный ремонт автомобильных дорог города Орла на улицах частной жилой застройки: пер. Заливной</v>
      </c>
      <c r="C316" s="273">
        <f>'целевые показатели'!K303</f>
        <v>1262.6776079999997</v>
      </c>
      <c r="D316" s="273">
        <v>0</v>
      </c>
      <c r="E316" s="273">
        <v>0</v>
      </c>
      <c r="F316" s="273">
        <f t="shared" si="11"/>
        <v>1250.0508319199998</v>
      </c>
      <c r="G316" s="274">
        <f t="shared" si="12"/>
        <v>12.6267760799999</v>
      </c>
      <c r="H316" s="208" t="s">
        <v>735</v>
      </c>
      <c r="K316" s="12"/>
    </row>
    <row r="317" spans="1:11" ht="33" x14ac:dyDescent="0.25">
      <c r="A317" s="390" t="s">
        <v>850</v>
      </c>
      <c r="B317" s="374" t="str">
        <f>'целевые показатели'!B304</f>
        <v>Капитальный ремонт автомобильных дорог города Орла на улицах частной жилой застройки: ул. Преображенского</v>
      </c>
      <c r="C317" s="273">
        <f>'целевые показатели'!K304</f>
        <v>7726.0086339499994</v>
      </c>
      <c r="D317" s="273">
        <v>0</v>
      </c>
      <c r="E317" s="273">
        <v>0</v>
      </c>
      <c r="F317" s="273">
        <f>C317*0.99-0.00001</f>
        <v>7648.7485376105005</v>
      </c>
      <c r="G317" s="274">
        <f>C317-F317-0.00001</f>
        <v>77.260086339498898</v>
      </c>
      <c r="H317" s="208" t="s">
        <v>735</v>
      </c>
      <c r="K317" s="12"/>
    </row>
    <row r="318" spans="1:11" ht="33" x14ac:dyDescent="0.25">
      <c r="A318" s="390" t="s">
        <v>851</v>
      </c>
      <c r="B318" s="374" t="str">
        <f>'целевые показатели'!B305</f>
        <v>Капитальный ремонт автомобильных дорог города Орла на улицах частной жилой застройки: пер. Донской</v>
      </c>
      <c r="C318" s="273">
        <f>'целевые показатели'!K305</f>
        <v>5034.9269618999997</v>
      </c>
      <c r="D318" s="273">
        <v>0</v>
      </c>
      <c r="E318" s="273">
        <v>0</v>
      </c>
      <c r="F318" s="273">
        <f t="shared" si="11"/>
        <v>4984.5776922810001</v>
      </c>
      <c r="G318" s="274">
        <f t="shared" si="12"/>
        <v>50.349269618999642</v>
      </c>
      <c r="H318" s="208" t="s">
        <v>735</v>
      </c>
      <c r="K318" s="12"/>
    </row>
    <row r="319" spans="1:11" ht="33" x14ac:dyDescent="0.25">
      <c r="A319" s="390" t="s">
        <v>852</v>
      </c>
      <c r="B319" s="374" t="str">
        <f>'целевые показатели'!B306</f>
        <v>Капитальный ремонт автомобильных дорог города Орла на улицах частной жилой застройки: туп. Стеклянный</v>
      </c>
      <c r="C319" s="273">
        <f>'целевые показатели'!K306</f>
        <v>1459.9709842499999</v>
      </c>
      <c r="D319" s="273">
        <v>0</v>
      </c>
      <c r="E319" s="273">
        <v>0</v>
      </c>
      <c r="F319" s="273">
        <f t="shared" si="11"/>
        <v>1445.3712744074999</v>
      </c>
      <c r="G319" s="274">
        <f t="shared" si="12"/>
        <v>14.599709842499806</v>
      </c>
      <c r="H319" s="208" t="s">
        <v>735</v>
      </c>
      <c r="K319" s="12"/>
    </row>
    <row r="320" spans="1:11" ht="33" x14ac:dyDescent="0.25">
      <c r="A320" s="390" t="s">
        <v>853</v>
      </c>
      <c r="B320" s="374" t="str">
        <f>'целевые показатели'!B307</f>
        <v>Капитальный ремонт автомобильных дорог города Орла на улицах частной жилой застройки: пер. Стеклянный</v>
      </c>
      <c r="C320" s="273">
        <f>'целевые показатели'!K307</f>
        <v>828.63218024999981</v>
      </c>
      <c r="D320" s="273">
        <v>0</v>
      </c>
      <c r="E320" s="273">
        <v>0</v>
      </c>
      <c r="F320" s="273">
        <f t="shared" si="11"/>
        <v>820.34585844749984</v>
      </c>
      <c r="G320" s="274">
        <f t="shared" si="12"/>
        <v>8.2863218025000833</v>
      </c>
      <c r="H320" s="208" t="s">
        <v>735</v>
      </c>
      <c r="K320" s="12"/>
    </row>
    <row r="321" spans="1:11" ht="33" x14ac:dyDescent="0.25">
      <c r="A321" s="390" t="s">
        <v>854</v>
      </c>
      <c r="B321" s="374" t="str">
        <f>'целевые показатели'!B308</f>
        <v>Капитальный ремонт автомобильных дорог города Орла на улицах частной жилой застройки: пер. Игрушечный</v>
      </c>
      <c r="C321" s="273">
        <f>'целевые показатели'!K308</f>
        <v>2549.0304211499997</v>
      </c>
      <c r="D321" s="273">
        <v>0</v>
      </c>
      <c r="E321" s="273">
        <v>0</v>
      </c>
      <c r="F321" s="273">
        <f t="shared" si="11"/>
        <v>2523.5401169384995</v>
      </c>
      <c r="G321" s="274">
        <f t="shared" si="12"/>
        <v>25.490304211500188</v>
      </c>
      <c r="H321" s="208" t="s">
        <v>735</v>
      </c>
      <c r="K321" s="12"/>
    </row>
    <row r="322" spans="1:11" ht="33" x14ac:dyDescent="0.25">
      <c r="A322" s="390" t="s">
        <v>855</v>
      </c>
      <c r="B322" s="374" t="str">
        <f>'целевые показатели'!B309</f>
        <v>Капитальный ремонт автомобильных дорог города Орла на улицах частной жилой застройки: туп. Линейный</v>
      </c>
      <c r="C322" s="273">
        <f>'целевые показатели'!K309</f>
        <v>2391.1957201499999</v>
      </c>
      <c r="D322" s="273">
        <v>0</v>
      </c>
      <c r="E322" s="273">
        <v>0</v>
      </c>
      <c r="F322" s="273">
        <f t="shared" si="11"/>
        <v>2367.2837629484998</v>
      </c>
      <c r="G322" s="274">
        <f t="shared" si="12"/>
        <v>23.911957201499717</v>
      </c>
      <c r="H322" s="208" t="s">
        <v>735</v>
      </c>
      <c r="K322" s="12"/>
    </row>
    <row r="323" spans="1:11" ht="33" x14ac:dyDescent="0.25">
      <c r="A323" s="390" t="s">
        <v>856</v>
      </c>
      <c r="B323" s="374" t="str">
        <f>'целевые показатели'!B310</f>
        <v>Капитальный ремонт автомобильных дорог города Орла на улицах частной жилой застройки: ул. Чкалова</v>
      </c>
      <c r="C323" s="273">
        <f>'целевые показатели'!K310</f>
        <v>11837.602574999999</v>
      </c>
      <c r="D323" s="273">
        <v>0</v>
      </c>
      <c r="E323" s="273">
        <v>0</v>
      </c>
      <c r="F323" s="273">
        <f t="shared" si="11"/>
        <v>11719.226549249999</v>
      </c>
      <c r="G323" s="274">
        <f t="shared" si="12"/>
        <v>118.37602575000165</v>
      </c>
      <c r="H323" s="405" t="s">
        <v>636</v>
      </c>
      <c r="K323" s="12"/>
    </row>
    <row r="324" spans="1:11" ht="33" x14ac:dyDescent="0.25">
      <c r="A324" s="390" t="s">
        <v>857</v>
      </c>
      <c r="B324" s="374" t="str">
        <f>'целевые показатели'!B311</f>
        <v>Капитальный ремонт автомобильных дорог города Орла на улицах частной жилой застройки: ул. Станционная</v>
      </c>
      <c r="C324" s="273">
        <f>'целевые показатели'!K311</f>
        <v>6921.05163885</v>
      </c>
      <c r="D324" s="273">
        <v>0</v>
      </c>
      <c r="E324" s="273">
        <v>0</v>
      </c>
      <c r="F324" s="273">
        <f t="shared" si="11"/>
        <v>6851.8411224615002</v>
      </c>
      <c r="G324" s="274">
        <f t="shared" si="12"/>
        <v>69.210516388499855</v>
      </c>
      <c r="H324" s="405" t="s">
        <v>636</v>
      </c>
      <c r="K324" s="12"/>
    </row>
    <row r="325" spans="1:11" ht="33" x14ac:dyDescent="0.25">
      <c r="A325" s="390" t="s">
        <v>858</v>
      </c>
      <c r="B325" s="374" t="str">
        <f>'целевые показатели'!B312</f>
        <v>Капитальный ремонт автомобильных дорог города Орла на улицах частной жилой застройки: ул. Лесопильная</v>
      </c>
      <c r="C325" s="273">
        <f>'целевые показатели'!K312</f>
        <v>7891.7350500000002</v>
      </c>
      <c r="D325" s="273">
        <v>0</v>
      </c>
      <c r="E325" s="273">
        <v>0</v>
      </c>
      <c r="F325" s="273">
        <f t="shared" si="11"/>
        <v>7812.8176995000003</v>
      </c>
      <c r="G325" s="274">
        <f t="shared" si="12"/>
        <v>78.917350499999884</v>
      </c>
      <c r="H325" s="405" t="s">
        <v>636</v>
      </c>
      <c r="K325" s="12"/>
    </row>
    <row r="326" spans="1:11" ht="33" x14ac:dyDescent="0.25">
      <c r="A326" s="390" t="s">
        <v>859</v>
      </c>
      <c r="B326" s="374" t="str">
        <f>'целевые показатели'!B313</f>
        <v>Капитальный ремонт автомобильных дорог города Орла на улицах частной жилой застройки: ул. Деревообделочная</v>
      </c>
      <c r="C326" s="273">
        <f>'целевые показатели'!K313</f>
        <v>7891.7350500000002</v>
      </c>
      <c r="D326" s="273">
        <v>0</v>
      </c>
      <c r="E326" s="273">
        <v>0</v>
      </c>
      <c r="F326" s="273">
        <f t="shared" si="11"/>
        <v>7812.8176995000003</v>
      </c>
      <c r="G326" s="274">
        <f t="shared" si="12"/>
        <v>78.917350499999884</v>
      </c>
      <c r="H326" s="405" t="s">
        <v>636</v>
      </c>
      <c r="K326" s="12"/>
    </row>
    <row r="327" spans="1:11" ht="33" x14ac:dyDescent="0.25">
      <c r="A327" s="390" t="s">
        <v>860</v>
      </c>
      <c r="B327" s="374" t="str">
        <f>'целевые показатели'!B314</f>
        <v>Капитальный ремонт автомобильных дорог города Орла на улицах частной жилой застройки: ул. Шульгина 1 этап</v>
      </c>
      <c r="C327" s="273">
        <f>I327+J327</f>
        <v>12587.31740475</v>
      </c>
      <c r="D327" s="273">
        <v>0</v>
      </c>
      <c r="E327" s="273">
        <v>0</v>
      </c>
      <c r="F327" s="273">
        <f t="shared" si="11"/>
        <v>12461.4442307025</v>
      </c>
      <c r="G327" s="274">
        <f t="shared" si="12"/>
        <v>125.87317404749956</v>
      </c>
      <c r="H327" s="405" t="s">
        <v>636</v>
      </c>
      <c r="I327" s="273">
        <v>10259.255564999999</v>
      </c>
      <c r="J327" s="273">
        <v>2328.0618397499998</v>
      </c>
      <c r="K327" s="12"/>
    </row>
    <row r="328" spans="1:11" ht="33" x14ac:dyDescent="0.25">
      <c r="A328" s="390" t="s">
        <v>861</v>
      </c>
      <c r="B328" s="406" t="str">
        <f>'целевые показатели'!B315</f>
        <v>Капитальный ремонт автомобильных дорог города Орла на улицах частной жилой застройки: ул. Крестьянская</v>
      </c>
      <c r="C328" s="273">
        <f>'целевые показатели'!K315</f>
        <v>3724.8989435999997</v>
      </c>
      <c r="D328" s="273">
        <v>0</v>
      </c>
      <c r="E328" s="273">
        <v>0</v>
      </c>
      <c r="F328" s="273">
        <f t="shared" si="11"/>
        <v>3687.6499541639996</v>
      </c>
      <c r="G328" s="274">
        <f t="shared" si="12"/>
        <v>37.248989436000102</v>
      </c>
      <c r="H328" s="405" t="s">
        <v>636</v>
      </c>
      <c r="K328" s="12"/>
    </row>
    <row r="329" spans="1:11" ht="33" x14ac:dyDescent="0.25">
      <c r="A329" s="390" t="s">
        <v>862</v>
      </c>
      <c r="B329" s="374" t="str">
        <f>'целевые показатели'!B316</f>
        <v>Капитальный ремонт автомобильных дорог города Орла на улицах частной жилой застройки: пер. Смоленский</v>
      </c>
      <c r="C329" s="273">
        <f>'целевые показатели'!K316</f>
        <v>2706.8651221500004</v>
      </c>
      <c r="D329" s="273">
        <v>0</v>
      </c>
      <c r="E329" s="273">
        <v>0</v>
      </c>
      <c r="F329" s="273">
        <f t="shared" si="11"/>
        <v>2679.7964709285002</v>
      </c>
      <c r="G329" s="274">
        <f t="shared" si="12"/>
        <v>27.068651221499749</v>
      </c>
      <c r="H329" s="405" t="s">
        <v>636</v>
      </c>
      <c r="K329" s="12"/>
    </row>
    <row r="330" spans="1:11" ht="33" x14ac:dyDescent="0.25">
      <c r="A330" s="390" t="s">
        <v>863</v>
      </c>
      <c r="B330" s="374" t="str">
        <f>'целевые показатели'!B317</f>
        <v>Капитальный ремонт автомобильных дорог города Орла на улицах частной жилой застройки: ул. Текстильная</v>
      </c>
      <c r="C330" s="121">
        <f>'целевые показатели'!K317</f>
        <v>3582.8477427000003</v>
      </c>
      <c r="D330" s="273">
        <v>0</v>
      </c>
      <c r="E330" s="273">
        <v>0</v>
      </c>
      <c r="F330" s="273">
        <f>C330*0.99-0.00001</f>
        <v>3547.019255273</v>
      </c>
      <c r="G330" s="274">
        <f>C330-F330-0.00001</f>
        <v>35.828477427000294</v>
      </c>
      <c r="H330" s="405" t="s">
        <v>636</v>
      </c>
      <c r="K330" s="12"/>
    </row>
    <row r="331" spans="1:11" ht="33" x14ac:dyDescent="0.25">
      <c r="A331" s="390" t="s">
        <v>864</v>
      </c>
      <c r="B331" s="251" t="str">
        <f>'целевые показатели'!B318</f>
        <v>Капитальный ремонт автомобильных дорог города Орла на улицах частной жилой застройки: ул. Лазо</v>
      </c>
      <c r="C331" s="273">
        <f>2588.4891+6791.20452</f>
        <v>9379.69362</v>
      </c>
      <c r="D331" s="273">
        <v>0</v>
      </c>
      <c r="E331" s="273">
        <v>0</v>
      </c>
      <c r="F331" s="273">
        <f t="shared" si="11"/>
        <v>9285.8966837999997</v>
      </c>
      <c r="G331" s="274">
        <f t="shared" si="12"/>
        <v>93.796936200000346</v>
      </c>
      <c r="H331" s="405" t="s">
        <v>636</v>
      </c>
      <c r="K331" s="12"/>
    </row>
    <row r="332" spans="1:11" ht="33" x14ac:dyDescent="0.25">
      <c r="A332" s="390" t="s">
        <v>865</v>
      </c>
      <c r="B332" s="251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332" s="273">
        <f>'целевые показатели'!K389</f>
        <v>3474.7584799999995</v>
      </c>
      <c r="D332" s="273">
        <v>0</v>
      </c>
      <c r="E332" s="273">
        <v>0</v>
      </c>
      <c r="F332" s="273">
        <v>0</v>
      </c>
      <c r="G332" s="226">
        <f t="shared" si="12"/>
        <v>3474.75848</v>
      </c>
      <c r="H332" s="270" t="s">
        <v>726</v>
      </c>
      <c r="K332" s="12"/>
    </row>
    <row r="333" spans="1:11" ht="21" customHeight="1" x14ac:dyDescent="0.25">
      <c r="A333" s="747" t="s">
        <v>20</v>
      </c>
      <c r="B333" s="748"/>
      <c r="C333" s="748"/>
      <c r="D333" s="748"/>
      <c r="E333" s="748"/>
      <c r="F333" s="748"/>
      <c r="G333" s="749"/>
    </row>
    <row r="334" spans="1:11" x14ac:dyDescent="0.25">
      <c r="A334" s="320">
        <v>1</v>
      </c>
      <c r="B334" s="219" t="s">
        <v>44</v>
      </c>
      <c r="C334" s="321">
        <f>SUM(C336:C344)</f>
        <v>909090.9090937071</v>
      </c>
      <c r="D334" s="321">
        <f>SUM(D336:D344)</f>
        <v>0</v>
      </c>
      <c r="E334" s="321">
        <f>SUM(E336:E344)</f>
        <v>0</v>
      </c>
      <c r="F334" s="321">
        <f>SUM(F336:F344)</f>
        <v>900000.0000027701</v>
      </c>
      <c r="G334" s="322">
        <f>SUM(G336:G344)</f>
        <v>9040.4040404370571</v>
      </c>
      <c r="H334" s="208">
        <f>'целевые показатели'!L26</f>
        <v>909090.90908999997</v>
      </c>
      <c r="I334" s="208">
        <f>F345+F364</f>
        <v>349817.20000311697</v>
      </c>
      <c r="J334" s="12">
        <f>C345+C364</f>
        <v>354775.70707082498</v>
      </c>
    </row>
    <row r="335" spans="1:11" x14ac:dyDescent="0.25">
      <c r="A335" s="323" t="s">
        <v>45</v>
      </c>
      <c r="B335" s="223" t="s">
        <v>22</v>
      </c>
      <c r="C335" s="273">
        <f>'целевые показатели'!L27</f>
        <v>734795.99539000005</v>
      </c>
      <c r="D335" s="273">
        <v>0</v>
      </c>
      <c r="E335" s="273">
        <v>0</v>
      </c>
      <c r="F335" s="273">
        <f>C335*0.99</f>
        <v>727448.03543610009</v>
      </c>
      <c r="G335" s="274">
        <f>C335-F335</f>
        <v>7347.9599539000774</v>
      </c>
    </row>
    <row r="336" spans="1:11" x14ac:dyDescent="0.25">
      <c r="A336" s="356" t="s">
        <v>172</v>
      </c>
      <c r="B336" s="230" t="s">
        <v>169</v>
      </c>
      <c r="C336" s="231">
        <v>20000</v>
      </c>
      <c r="D336" s="326">
        <v>0</v>
      </c>
      <c r="E336" s="326">
        <v>0</v>
      </c>
      <c r="F336" s="326">
        <f>C336*0.99</f>
        <v>19800</v>
      </c>
      <c r="G336" s="327">
        <f>C336-F336</f>
        <v>200</v>
      </c>
    </row>
    <row r="337" spans="1:11" ht="31.5" x14ac:dyDescent="0.25">
      <c r="A337" s="356" t="s">
        <v>173</v>
      </c>
      <c r="B337" s="230" t="s">
        <v>178</v>
      </c>
      <c r="C337" s="231">
        <v>100873.39939999999</v>
      </c>
      <c r="D337" s="326">
        <v>0</v>
      </c>
      <c r="E337" s="326">
        <v>0</v>
      </c>
      <c r="F337" s="326">
        <f t="shared" ref="F337:F344" si="13">C337*0.99</f>
        <v>99864.665406</v>
      </c>
      <c r="G337" s="327">
        <f t="shared" ref="G337:G352" si="14">C337-F337</f>
        <v>1008.7339939999947</v>
      </c>
    </row>
    <row r="338" spans="1:11" ht="31.5" x14ac:dyDescent="0.25">
      <c r="A338" s="356" t="s">
        <v>174</v>
      </c>
      <c r="B338" s="230" t="s">
        <v>170</v>
      </c>
      <c r="C338" s="231">
        <v>4025.1717699999999</v>
      </c>
      <c r="D338" s="326">
        <v>0</v>
      </c>
      <c r="E338" s="326">
        <v>0</v>
      </c>
      <c r="F338" s="326">
        <f t="shared" si="13"/>
        <v>3984.9200523</v>
      </c>
      <c r="G338" s="327">
        <f t="shared" si="14"/>
        <v>40.251717699999972</v>
      </c>
    </row>
    <row r="339" spans="1:11" x14ac:dyDescent="0.25">
      <c r="A339" s="356" t="s">
        <v>175</v>
      </c>
      <c r="B339" s="230" t="s">
        <v>171</v>
      </c>
      <c r="C339" s="231">
        <v>609897.42422370717</v>
      </c>
      <c r="D339" s="326">
        <v>0</v>
      </c>
      <c r="E339" s="326">
        <v>0</v>
      </c>
      <c r="F339" s="326">
        <f t="shared" si="13"/>
        <v>603798.44998147013</v>
      </c>
      <c r="G339" s="327">
        <f t="shared" si="14"/>
        <v>6098.9742422370473</v>
      </c>
    </row>
    <row r="340" spans="1:11" x14ac:dyDescent="0.25">
      <c r="A340" s="379" t="s">
        <v>46</v>
      </c>
      <c r="B340" s="223" t="s">
        <v>23</v>
      </c>
      <c r="C340" s="273">
        <f>'целевые показатели'!L28</f>
        <v>42949.49495</v>
      </c>
      <c r="D340" s="273">
        <v>0</v>
      </c>
      <c r="E340" s="273">
        <v>0</v>
      </c>
      <c r="F340" s="273">
        <f t="shared" si="13"/>
        <v>42520.000000499997</v>
      </c>
      <c r="G340" s="274">
        <f t="shared" si="14"/>
        <v>429.49494950000371</v>
      </c>
    </row>
    <row r="341" spans="1:11" ht="16.5" x14ac:dyDescent="0.25">
      <c r="A341" s="323" t="s">
        <v>47</v>
      </c>
      <c r="B341" s="279" t="s">
        <v>185</v>
      </c>
      <c r="C341" s="273">
        <f>'целевые показатели'!L29</f>
        <v>116193.90360000001</v>
      </c>
      <c r="D341" s="273">
        <v>0</v>
      </c>
      <c r="E341" s="273">
        <v>0</v>
      </c>
      <c r="F341" s="273">
        <f t="shared" si="13"/>
        <v>115031.96456400001</v>
      </c>
      <c r="G341" s="274">
        <f t="shared" si="14"/>
        <v>1161.9390360000107</v>
      </c>
    </row>
    <row r="342" spans="1:11" ht="31.5" x14ac:dyDescent="0.25">
      <c r="A342" s="323" t="s">
        <v>48</v>
      </c>
      <c r="B342" s="243" t="s">
        <v>24</v>
      </c>
      <c r="C342" s="273">
        <f>'целевые показатели'!L30</f>
        <v>10101.0101</v>
      </c>
      <c r="D342" s="273">
        <v>0</v>
      </c>
      <c r="E342" s="273">
        <v>0</v>
      </c>
      <c r="F342" s="273">
        <f>C342*0.99</f>
        <v>9999.9999989999997</v>
      </c>
      <c r="G342" s="274">
        <f>C343-F343</f>
        <v>50.505050499999925</v>
      </c>
    </row>
    <row r="343" spans="1:11" ht="31.5" x14ac:dyDescent="0.25">
      <c r="A343" s="323" t="s">
        <v>49</v>
      </c>
      <c r="B343" s="247" t="s">
        <v>25</v>
      </c>
      <c r="C343" s="273">
        <f>'целевые показатели'!L32</f>
        <v>5050.5050499999998</v>
      </c>
      <c r="D343" s="273">
        <v>0</v>
      </c>
      <c r="E343" s="273">
        <v>0</v>
      </c>
      <c r="F343" s="273">
        <f t="shared" si="13"/>
        <v>4999.9999994999998</v>
      </c>
      <c r="G343" s="274">
        <f t="shared" si="14"/>
        <v>50.505050499999925</v>
      </c>
      <c r="I343" s="358">
        <f>349817200/1000</f>
        <v>349817.2</v>
      </c>
      <c r="J343" s="394" t="s">
        <v>429</v>
      </c>
    </row>
    <row r="344" spans="1:11" ht="16.5" x14ac:dyDescent="0.25">
      <c r="A344" s="323" t="s">
        <v>189</v>
      </c>
      <c r="B344" s="251" t="s">
        <v>154</v>
      </c>
      <c r="C344" s="273">
        <f>'целевые показатели'!L33</f>
        <v>0</v>
      </c>
      <c r="D344" s="273">
        <v>0</v>
      </c>
      <c r="E344" s="273">
        <v>0</v>
      </c>
      <c r="F344" s="273">
        <f t="shared" si="13"/>
        <v>0</v>
      </c>
      <c r="G344" s="274">
        <f t="shared" si="14"/>
        <v>0</v>
      </c>
      <c r="I344" s="358"/>
      <c r="J344" s="394"/>
    </row>
    <row r="345" spans="1:11" ht="31.5" x14ac:dyDescent="0.25">
      <c r="A345" s="320">
        <v>2</v>
      </c>
      <c r="B345" s="219" t="s">
        <v>15</v>
      </c>
      <c r="C345" s="305">
        <f>SUM(C351:C352)</f>
        <v>1425</v>
      </c>
      <c r="D345" s="305">
        <f>SUM(D351:D352)</f>
        <v>0</v>
      </c>
      <c r="E345" s="305">
        <f>SUM(E351:E352)</f>
        <v>0</v>
      </c>
      <c r="F345" s="305">
        <f>SUM(F351:F352)</f>
        <v>0</v>
      </c>
      <c r="G345" s="341">
        <f>SUM(G351:G352)</f>
        <v>1425</v>
      </c>
      <c r="H345" s="208">
        <f>'целевые показатели'!L41</f>
        <v>1425</v>
      </c>
    </row>
    <row r="346" spans="1:11" ht="16.5" hidden="1" x14ac:dyDescent="0.25">
      <c r="A346" s="323" t="s">
        <v>159</v>
      </c>
      <c r="B346" s="251" t="e">
        <f>'целевые показатели'!#REF!</f>
        <v>#REF!</v>
      </c>
      <c r="C346" s="61">
        <f>8500+174.2772</f>
        <v>8674.2772000000004</v>
      </c>
      <c r="D346" s="273">
        <v>0</v>
      </c>
      <c r="E346" s="273">
        <v>0</v>
      </c>
      <c r="F346" s="343">
        <f t="shared" ref="F346:F351" si="15">C346*0.99</f>
        <v>8587.5344280000008</v>
      </c>
      <c r="G346" s="344">
        <f>C346-F346</f>
        <v>86.742771999999604</v>
      </c>
    </row>
    <row r="347" spans="1:11" ht="16.5" hidden="1" x14ac:dyDescent="0.25">
      <c r="A347" s="323" t="s">
        <v>160</v>
      </c>
      <c r="B347" s="407" t="s">
        <v>745</v>
      </c>
      <c r="C347" s="61">
        <f>10300</f>
        <v>10300</v>
      </c>
      <c r="D347" s="273">
        <v>0</v>
      </c>
      <c r="E347" s="273">
        <v>0</v>
      </c>
      <c r="F347" s="343">
        <f t="shared" si="15"/>
        <v>10197</v>
      </c>
      <c r="G347" s="344">
        <f>C347-F347</f>
        <v>103</v>
      </c>
    </row>
    <row r="348" spans="1:11" ht="16.5" hidden="1" x14ac:dyDescent="0.25">
      <c r="A348" s="323" t="s">
        <v>161</v>
      </c>
      <c r="B348" s="407" t="s">
        <v>746</v>
      </c>
      <c r="C348" s="61">
        <v>8500</v>
      </c>
      <c r="D348" s="273">
        <v>0</v>
      </c>
      <c r="E348" s="273">
        <v>0</v>
      </c>
      <c r="F348" s="343">
        <f t="shared" si="15"/>
        <v>8415</v>
      </c>
      <c r="G348" s="344">
        <f>C348-F348</f>
        <v>85</v>
      </c>
    </row>
    <row r="349" spans="1:11" ht="16.5" hidden="1" x14ac:dyDescent="0.25">
      <c r="A349" s="323" t="s">
        <v>162</v>
      </c>
      <c r="B349" s="408" t="s">
        <v>765</v>
      </c>
      <c r="C349" s="61">
        <f>20041.45395+800.22982+12953.87347</f>
        <v>33795.557240000002</v>
      </c>
      <c r="D349" s="343">
        <v>0</v>
      </c>
      <c r="E349" s="343">
        <v>0</v>
      </c>
      <c r="F349" s="273">
        <f t="shared" si="15"/>
        <v>33457.6016676</v>
      </c>
      <c r="G349" s="274">
        <f>C349-F349</f>
        <v>337.95557240000198</v>
      </c>
    </row>
    <row r="350" spans="1:11" ht="33" hidden="1" x14ac:dyDescent="0.25">
      <c r="A350" s="323" t="s">
        <v>445</v>
      </c>
      <c r="B350" s="364" t="s">
        <v>872</v>
      </c>
      <c r="C350" s="61">
        <v>10275.92395</v>
      </c>
      <c r="D350" s="343">
        <v>0</v>
      </c>
      <c r="E350" s="343">
        <v>0</v>
      </c>
      <c r="F350" s="273">
        <f t="shared" si="15"/>
        <v>10173.164710500001</v>
      </c>
      <c r="G350" s="274">
        <f>C350-F350</f>
        <v>102.75923950000106</v>
      </c>
    </row>
    <row r="351" spans="1:11" hidden="1" x14ac:dyDescent="0.25">
      <c r="A351" s="323" t="s">
        <v>163</v>
      </c>
      <c r="B351" s="243" t="s">
        <v>26</v>
      </c>
      <c r="C351" s="273">
        <f>'целевые показатели'!L128</f>
        <v>0</v>
      </c>
      <c r="D351" s="273">
        <v>0</v>
      </c>
      <c r="E351" s="273">
        <v>0</v>
      </c>
      <c r="F351" s="343">
        <f t="shared" si="15"/>
        <v>0</v>
      </c>
      <c r="G351" s="274">
        <f t="shared" si="14"/>
        <v>0</v>
      </c>
      <c r="K351" s="409"/>
    </row>
    <row r="352" spans="1:11" ht="31.5" x14ac:dyDescent="0.25">
      <c r="A352" s="323" t="s">
        <v>159</v>
      </c>
      <c r="B352" s="243" t="s">
        <v>27</v>
      </c>
      <c r="C352" s="273">
        <f>'целевые показатели'!L129</f>
        <v>1425</v>
      </c>
      <c r="D352" s="273">
        <v>0</v>
      </c>
      <c r="E352" s="273">
        <v>0</v>
      </c>
      <c r="F352" s="273">
        <v>0</v>
      </c>
      <c r="G352" s="274">
        <f t="shared" si="14"/>
        <v>1425</v>
      </c>
    </row>
    <row r="353" spans="1:10" ht="94.5" x14ac:dyDescent="0.25">
      <c r="A353" s="320">
        <v>3</v>
      </c>
      <c r="B353" s="219" t="s">
        <v>436</v>
      </c>
      <c r="C353" s="321">
        <f>SUM(C354:C356)</f>
        <v>306061.30303000001</v>
      </c>
      <c r="D353" s="321">
        <f>SUM(D354:D356)</f>
        <v>0</v>
      </c>
      <c r="E353" s="321">
        <f>SUM(E354:E356)</f>
        <v>0</v>
      </c>
      <c r="F353" s="321">
        <f>SUM(F354:F356)</f>
        <v>299999.9999997</v>
      </c>
      <c r="G353" s="322">
        <f>SUM(G354:G356)</f>
        <v>6061.3030303000123</v>
      </c>
      <c r="H353" s="208">
        <f>'целевые показатели'!L137</f>
        <v>306061.30303000001</v>
      </c>
    </row>
    <row r="354" spans="1:10" ht="16.5" x14ac:dyDescent="0.25">
      <c r="A354" s="323" t="s">
        <v>68</v>
      </c>
      <c r="B354" s="279" t="str">
        <f>'целевые показатели'!B156</f>
        <v>ул. Комсомольская от ул. Гагарина до ул. Красина</v>
      </c>
      <c r="C354" s="273">
        <f>'целевые показатели'!L156</f>
        <v>303030.30303000001</v>
      </c>
      <c r="D354" s="273">
        <v>0</v>
      </c>
      <c r="E354" s="273">
        <v>0</v>
      </c>
      <c r="F354" s="273">
        <f>C354*0.99</f>
        <v>299999.9999997</v>
      </c>
      <c r="G354" s="274">
        <f>C354-F354</f>
        <v>3030.3030303000123</v>
      </c>
    </row>
    <row r="355" spans="1:10" x14ac:dyDescent="0.25">
      <c r="A355" s="323" t="s">
        <v>71</v>
      </c>
      <c r="B355" s="243" t="s">
        <v>26</v>
      </c>
      <c r="C355" s="273">
        <v>0</v>
      </c>
      <c r="D355" s="273">
        <v>0</v>
      </c>
      <c r="E355" s="273">
        <v>0</v>
      </c>
      <c r="F355" s="273">
        <f>C355*0.99</f>
        <v>0</v>
      </c>
      <c r="G355" s="274">
        <f>C355-F355</f>
        <v>0</v>
      </c>
    </row>
    <row r="356" spans="1:10" ht="33" x14ac:dyDescent="0.25">
      <c r="A356" s="323" t="s">
        <v>72</v>
      </c>
      <c r="B356" s="251" t="s">
        <v>27</v>
      </c>
      <c r="C356" s="273">
        <f>'целевые показатели'!L158</f>
        <v>3031</v>
      </c>
      <c r="D356" s="273">
        <v>0</v>
      </c>
      <c r="E356" s="273">
        <v>0</v>
      </c>
      <c r="F356" s="273">
        <v>0</v>
      </c>
      <c r="G356" s="274">
        <f>C356-F356</f>
        <v>3031</v>
      </c>
      <c r="H356" s="270" t="s">
        <v>158</v>
      </c>
    </row>
    <row r="357" spans="1:10" ht="49.5" x14ac:dyDescent="0.25">
      <c r="A357" s="323">
        <v>4</v>
      </c>
      <c r="B357" s="308" t="s">
        <v>13</v>
      </c>
      <c r="C357" s="321">
        <f>SUM(C358:C360)</f>
        <v>2200</v>
      </c>
      <c r="D357" s="321">
        <f>SUM(D358:D360)</f>
        <v>0</v>
      </c>
      <c r="E357" s="321">
        <f>SUM(E358:E360)</f>
        <v>0</v>
      </c>
      <c r="F357" s="321">
        <f>SUM(F358:F360)</f>
        <v>0</v>
      </c>
      <c r="G357" s="322">
        <f>SUM(G358:G360)</f>
        <v>2200</v>
      </c>
      <c r="H357" s="208">
        <f>'целевые показатели'!L167</f>
        <v>2200</v>
      </c>
    </row>
    <row r="358" spans="1:10" ht="33" x14ac:dyDescent="0.25">
      <c r="A358" s="323" t="s">
        <v>383</v>
      </c>
      <c r="B358" s="251" t="s">
        <v>146</v>
      </c>
      <c r="C358" s="273">
        <f>'целевые показатели'!L170</f>
        <v>150</v>
      </c>
      <c r="D358" s="273">
        <v>0</v>
      </c>
      <c r="E358" s="273">
        <v>0</v>
      </c>
      <c r="F358" s="273">
        <v>0</v>
      </c>
      <c r="G358" s="274">
        <f>C358-F358</f>
        <v>150</v>
      </c>
      <c r="H358" s="270" t="s">
        <v>158</v>
      </c>
    </row>
    <row r="359" spans="1:10" ht="33" x14ac:dyDescent="0.25">
      <c r="A359" s="323" t="s">
        <v>423</v>
      </c>
      <c r="B359" s="251" t="s">
        <v>147</v>
      </c>
      <c r="C359" s="273">
        <f>'целевые показатели'!L171</f>
        <v>150</v>
      </c>
      <c r="D359" s="273">
        <v>0</v>
      </c>
      <c r="E359" s="273">
        <v>0</v>
      </c>
      <c r="F359" s="273">
        <v>0</v>
      </c>
      <c r="G359" s="274">
        <f>C359-F359</f>
        <v>150</v>
      </c>
      <c r="H359" s="270" t="s">
        <v>158</v>
      </c>
    </row>
    <row r="360" spans="1:10" ht="16.5" x14ac:dyDescent="0.25">
      <c r="A360" s="323" t="s">
        <v>424</v>
      </c>
      <c r="B360" s="251" t="s">
        <v>321</v>
      </c>
      <c r="C360" s="273">
        <f>'целевые показатели'!L193</f>
        <v>1900</v>
      </c>
      <c r="D360" s="273">
        <v>0</v>
      </c>
      <c r="E360" s="273">
        <v>0</v>
      </c>
      <c r="F360" s="273">
        <v>0</v>
      </c>
      <c r="G360" s="274">
        <f>C360-F360</f>
        <v>1900</v>
      </c>
      <c r="H360" s="270" t="s">
        <v>158</v>
      </c>
    </row>
    <row r="361" spans="1:10" ht="110.25" x14ac:dyDescent="0.25">
      <c r="A361" s="320">
        <v>5</v>
      </c>
      <c r="B361" s="303" t="s">
        <v>437</v>
      </c>
      <c r="C361" s="321">
        <f>'целевые показатели'!L203</f>
        <v>23780.909100000001</v>
      </c>
      <c r="D361" s="321">
        <f>'целевые показатели'!L207</f>
        <v>23307.7</v>
      </c>
      <c r="E361" s="321">
        <v>0</v>
      </c>
      <c r="F361" s="321">
        <f>'целевые показатели'!L208</f>
        <v>235.4</v>
      </c>
      <c r="G361" s="322">
        <f>'целевые показатели'!L209</f>
        <v>237.8091</v>
      </c>
      <c r="H361" s="270">
        <f>'целевые показатели'!L203</f>
        <v>23780.909100000001</v>
      </c>
    </row>
    <row r="362" spans="1:10" ht="66" x14ac:dyDescent="0.25">
      <c r="A362" s="323">
        <v>6</v>
      </c>
      <c r="B362" s="308" t="s">
        <v>11</v>
      </c>
      <c r="C362" s="321">
        <f>SUM(C363)</f>
        <v>25350</v>
      </c>
      <c r="D362" s="321">
        <f>SUM(D363)</f>
        <v>0</v>
      </c>
      <c r="E362" s="321">
        <f>SUM(E363)</f>
        <v>0</v>
      </c>
      <c r="F362" s="321">
        <f>SUM(F363)</f>
        <v>0</v>
      </c>
      <c r="G362" s="322">
        <f>SUM(G363)</f>
        <v>25350</v>
      </c>
      <c r="H362" s="270"/>
    </row>
    <row r="363" spans="1:10" ht="33" x14ac:dyDescent="0.25">
      <c r="A363" s="323" t="s">
        <v>187</v>
      </c>
      <c r="B363" s="251" t="s">
        <v>249</v>
      </c>
      <c r="C363" s="273">
        <f>'целевые показатели'!L220</f>
        <v>25350</v>
      </c>
      <c r="D363" s="273">
        <v>0</v>
      </c>
      <c r="E363" s="273">
        <v>0</v>
      </c>
      <c r="F363" s="273">
        <v>0</v>
      </c>
      <c r="G363" s="274">
        <f>'целевые показатели'!L228</f>
        <v>25350</v>
      </c>
      <c r="H363" s="270">
        <f>'целевые показатели'!L212</f>
        <v>25350</v>
      </c>
    </row>
    <row r="364" spans="1:10" ht="33" x14ac:dyDescent="0.25">
      <c r="A364" s="320">
        <v>7</v>
      </c>
      <c r="B364" s="308" t="s">
        <v>294</v>
      </c>
      <c r="C364" s="321">
        <f>SUM(C365:C423)</f>
        <v>353350.70707082486</v>
      </c>
      <c r="D364" s="321">
        <f>SUM(D365:D423)</f>
        <v>0</v>
      </c>
      <c r="E364" s="321">
        <f>SUM(E365:E423)</f>
        <v>0</v>
      </c>
      <c r="F364" s="321">
        <f>SUM(F365:F423)</f>
        <v>349817.20000311668</v>
      </c>
      <c r="G364" s="322">
        <f>SUM(G365:G423)</f>
        <v>3533.5071077082548</v>
      </c>
      <c r="H364" s="208">
        <f>'целевые показатели'!L239</f>
        <v>353350.7070758249</v>
      </c>
      <c r="I364" s="352">
        <f>349817200/1000</f>
        <v>349817.2</v>
      </c>
      <c r="J364" s="410" t="s">
        <v>429</v>
      </c>
    </row>
    <row r="365" spans="1:10" ht="50.25" customHeight="1" x14ac:dyDescent="0.25">
      <c r="A365" s="323" t="s">
        <v>314</v>
      </c>
      <c r="B365" s="251" t="str">
        <f>'целевые показатели'!B253</f>
        <v>Капитальный ремонт автомобильной дороги по ул.Михалицына (прилегающая территория) с примыканием ул. Космонавтов на участке от ул. Михалицына до дома № 15 по пер.Межевой</v>
      </c>
      <c r="C365" s="273">
        <f>50358.30785-67.45583</f>
        <v>50290.852019999998</v>
      </c>
      <c r="D365" s="273">
        <v>0</v>
      </c>
      <c r="E365" s="273">
        <v>0</v>
      </c>
      <c r="F365" s="273">
        <f>C365*0.99</f>
        <v>49787.9434998</v>
      </c>
      <c r="G365" s="274">
        <f>C365-F365</f>
        <v>502.90852019999875</v>
      </c>
      <c r="I365" s="352">
        <f>I364-F364</f>
        <v>-3.1169620342552662E-6</v>
      </c>
      <c r="J365" s="273"/>
    </row>
    <row r="366" spans="1:10" ht="33" x14ac:dyDescent="0.25">
      <c r="A366" s="411">
        <v>44964</v>
      </c>
      <c r="B366" s="374" t="str">
        <f>'целевые показатели'!B319</f>
        <v>Капитальный ремонт автомобильных дорог города Орла на улицах частной жилой застройки: пер. Кировский</v>
      </c>
      <c r="C366" s="273">
        <f>'по МК 56'!E74/1000</f>
        <v>2545.46108</v>
      </c>
      <c r="D366" s="273">
        <v>0</v>
      </c>
      <c r="E366" s="273">
        <v>0</v>
      </c>
      <c r="F366" s="273">
        <f>C366*0.99</f>
        <v>2520.0064692000001</v>
      </c>
      <c r="G366" s="274">
        <f t="shared" ref="G366:G423" si="16">C366-F366</f>
        <v>25.454610799999955</v>
      </c>
      <c r="I366" s="208">
        <f>I365/99*100</f>
        <v>-3.148446499247744E-6</v>
      </c>
      <c r="J366" s="410"/>
    </row>
    <row r="367" spans="1:10" ht="33" x14ac:dyDescent="0.25">
      <c r="A367" s="411">
        <v>44992</v>
      </c>
      <c r="B367" s="374" t="str">
        <f>'целевые показатели'!B320</f>
        <v>Капитальный ремонт автомобильных дорог города Орла на улицах частной жилой застройки: ул. Контактная</v>
      </c>
      <c r="C367" s="273">
        <f>'по МК 56'!E75/1000</f>
        <v>4245.7534599999999</v>
      </c>
      <c r="D367" s="273">
        <v>0</v>
      </c>
      <c r="E367" s="273">
        <v>0</v>
      </c>
      <c r="F367" s="273">
        <f t="shared" ref="F367:F423" si="17">C367*0.99</f>
        <v>4203.2959253999998</v>
      </c>
      <c r="G367" s="274">
        <f t="shared" si="16"/>
        <v>42.457534600000145</v>
      </c>
    </row>
    <row r="368" spans="1:10" ht="33" x14ac:dyDescent="0.25">
      <c r="A368" s="411">
        <v>45023</v>
      </c>
      <c r="B368" s="251" t="str">
        <f>'целевые показатели'!B321</f>
        <v>Капитальный ремонт автомобильных дорог города Орла на улицах частной жилой застройки: пер. Тепловозный</v>
      </c>
      <c r="C368" s="273">
        <f>'целевые показатели'!L321</f>
        <v>1625.6974203</v>
      </c>
      <c r="D368" s="273">
        <v>0</v>
      </c>
      <c r="E368" s="273">
        <v>0</v>
      </c>
      <c r="F368" s="273">
        <f t="shared" si="17"/>
        <v>1609.4404460969999</v>
      </c>
      <c r="G368" s="274">
        <f t="shared" si="16"/>
        <v>16.256974203000027</v>
      </c>
    </row>
    <row r="369" spans="1:7" ht="33" x14ac:dyDescent="0.25">
      <c r="A369" s="411" t="s">
        <v>643</v>
      </c>
      <c r="B369" s="251" t="str">
        <f>'целевые показатели'!B322</f>
        <v>Капитальный ремонт автомобильных дорог города Орла на улицах частной жилой застройки: ул. Полтавская</v>
      </c>
      <c r="C369" s="273">
        <f>'целевые показатели'!L322</f>
        <v>1515.2131295999998</v>
      </c>
      <c r="D369" s="273">
        <v>0</v>
      </c>
      <c r="E369" s="273">
        <v>0</v>
      </c>
      <c r="F369" s="273">
        <f t="shared" si="17"/>
        <v>1500.0609983039997</v>
      </c>
      <c r="G369" s="274">
        <f t="shared" si="16"/>
        <v>15.152131296000107</v>
      </c>
    </row>
    <row r="370" spans="1:7" ht="33" x14ac:dyDescent="0.25">
      <c r="A370" s="411">
        <v>45084</v>
      </c>
      <c r="B370" s="251" t="str">
        <f>'целевые показатели'!B323</f>
        <v>Капитальный ремонт автомобильных дорог города Орла на улицах частной жилой застройки: ул. Андриабужная</v>
      </c>
      <c r="C370" s="273">
        <f>'целевые показатели'!L323</f>
        <v>13415.949584999998</v>
      </c>
      <c r="D370" s="273">
        <v>0</v>
      </c>
      <c r="E370" s="273">
        <v>0</v>
      </c>
      <c r="F370" s="273">
        <f t="shared" si="17"/>
        <v>13281.790089149998</v>
      </c>
      <c r="G370" s="274">
        <f t="shared" si="16"/>
        <v>134.15949585000089</v>
      </c>
    </row>
    <row r="371" spans="1:7" ht="33" x14ac:dyDescent="0.25">
      <c r="A371" s="411" t="s">
        <v>644</v>
      </c>
      <c r="B371" s="251" t="str">
        <f>'целевые показатели'!B324</f>
        <v>Капитальный ремонт автомобильных дорог города Орла на улицах частной жилой застройки: пер. Самарский</v>
      </c>
      <c r="C371" s="273">
        <f>'целевые показатели'!L324</f>
        <v>1452.0792492</v>
      </c>
      <c r="D371" s="273">
        <v>0</v>
      </c>
      <c r="E371" s="273">
        <v>0</v>
      </c>
      <c r="F371" s="273">
        <f t="shared" si="17"/>
        <v>1437.558456708</v>
      </c>
      <c r="G371" s="274">
        <f t="shared" si="16"/>
        <v>14.520792492000055</v>
      </c>
    </row>
    <row r="372" spans="1:7" ht="33" x14ac:dyDescent="0.25">
      <c r="A372" s="411" t="s">
        <v>645</v>
      </c>
      <c r="B372" s="251" t="str">
        <f>'целевые показатели'!B325</f>
        <v>Капитальный ремонт автомобильных дорог города Орла на улицах частной жилой застройки: ул. Пришвина</v>
      </c>
      <c r="C372" s="273">
        <f>'целевые показатели'!L325</f>
        <v>2817.3494128500001</v>
      </c>
      <c r="D372" s="273">
        <v>0</v>
      </c>
      <c r="E372" s="273">
        <v>0</v>
      </c>
      <c r="F372" s="273">
        <f t="shared" si="17"/>
        <v>2789.1759187215002</v>
      </c>
      <c r="G372" s="274">
        <f t="shared" si="16"/>
        <v>28.173494128500352</v>
      </c>
    </row>
    <row r="373" spans="1:7" ht="33" x14ac:dyDescent="0.25">
      <c r="A373" s="411" t="s">
        <v>646</v>
      </c>
      <c r="B373" s="251" t="str">
        <f>'целевые показатели'!B326</f>
        <v>Капитальный ремонт автомобильных дорог города Орла на улицах частной жилой застройки: ул. Электровозная</v>
      </c>
      <c r="C373" s="273">
        <f>'целевые показатели'!L326</f>
        <v>6723.7582626000003</v>
      </c>
      <c r="D373" s="273">
        <v>0</v>
      </c>
      <c r="E373" s="273">
        <v>0</v>
      </c>
      <c r="F373" s="273">
        <f t="shared" si="17"/>
        <v>6656.5206799739999</v>
      </c>
      <c r="G373" s="274">
        <f t="shared" si="16"/>
        <v>67.237582626000403</v>
      </c>
    </row>
    <row r="374" spans="1:7" ht="33" x14ac:dyDescent="0.25">
      <c r="A374" s="411" t="s">
        <v>647</v>
      </c>
      <c r="B374" s="251" t="str">
        <f>'целевые показатели'!B327</f>
        <v>Капитальный ремонт автомобильных дорог города Орла на улицах частной жилой застройки: туп. Медведевский</v>
      </c>
      <c r="C374" s="273">
        <f>'целевые показатели'!L327</f>
        <v>1744.0734260500001</v>
      </c>
      <c r="D374" s="273">
        <v>0</v>
      </c>
      <c r="E374" s="273">
        <v>0</v>
      </c>
      <c r="F374" s="273">
        <f>C374*0.99+0.00001</f>
        <v>1726.6327017895001</v>
      </c>
      <c r="G374" s="274">
        <f>C374-F374+0.00001</f>
        <v>17.440734260500001</v>
      </c>
    </row>
    <row r="375" spans="1:7" ht="33" x14ac:dyDescent="0.25">
      <c r="A375" s="323" t="s">
        <v>648</v>
      </c>
      <c r="B375" s="251" t="str">
        <f>'целевые показатели'!B328</f>
        <v>Капитальный ремонт автомобильных дорог города Орла на улицах частной жилой застройки: пер. Торцовый</v>
      </c>
      <c r="C375" s="273">
        <f>'целевые показатели'!L328</f>
        <v>2328.0618397499998</v>
      </c>
      <c r="D375" s="273">
        <v>0</v>
      </c>
      <c r="E375" s="273">
        <v>0</v>
      </c>
      <c r="F375" s="273">
        <f t="shared" si="17"/>
        <v>2304.7812213524999</v>
      </c>
      <c r="G375" s="274">
        <f t="shared" si="16"/>
        <v>23.280618397500348</v>
      </c>
    </row>
    <row r="376" spans="1:7" ht="33" x14ac:dyDescent="0.25">
      <c r="A376" s="323" t="s">
        <v>649</v>
      </c>
      <c r="B376" s="251" t="str">
        <f>'целевые показатели'!B329</f>
        <v>Капитальный ремонт автомобильных дорог города Орла на улицах частной жилой застройки: пер. Шахматный</v>
      </c>
      <c r="C376" s="273">
        <f>'целевые показатели'!L329</f>
        <v>1815.0990614999998</v>
      </c>
      <c r="D376" s="273">
        <v>0</v>
      </c>
      <c r="E376" s="273">
        <v>0</v>
      </c>
      <c r="F376" s="273">
        <f t="shared" si="17"/>
        <v>1796.9480708849999</v>
      </c>
      <c r="G376" s="274">
        <f t="shared" si="16"/>
        <v>18.150990614999955</v>
      </c>
    </row>
    <row r="377" spans="1:7" ht="33" x14ac:dyDescent="0.25">
      <c r="A377" s="323" t="s">
        <v>650</v>
      </c>
      <c r="B377" s="251" t="str">
        <f>'целевые показатели'!B330</f>
        <v>Капитальный ремонт автомобильных дорог города Орла на улицах частной жилой застройки: проезд Парковый</v>
      </c>
      <c r="C377" s="273">
        <f>'целевые показатели'!L330</f>
        <v>1972.9337625000001</v>
      </c>
      <c r="D377" s="273">
        <v>0</v>
      </c>
      <c r="E377" s="273">
        <v>0</v>
      </c>
      <c r="F377" s="273">
        <f t="shared" si="17"/>
        <v>1953.2044248750001</v>
      </c>
      <c r="G377" s="274">
        <f t="shared" si="16"/>
        <v>19.729337624999971</v>
      </c>
    </row>
    <row r="378" spans="1:7" ht="33" x14ac:dyDescent="0.25">
      <c r="A378" s="323" t="s">
        <v>651</v>
      </c>
      <c r="B378" s="251" t="str">
        <f>'целевые показатели'!B331</f>
        <v>Капитальный ремонт автомобильных дорог города Орла на улицах частной жилой застройки: пер. Прядильный</v>
      </c>
      <c r="C378" s="273">
        <f>'целевые показатели'!L331</f>
        <v>1530.9965996999999</v>
      </c>
      <c r="D378" s="273">
        <v>0</v>
      </c>
      <c r="E378" s="273">
        <v>0</v>
      </c>
      <c r="F378" s="273">
        <f t="shared" si="17"/>
        <v>1515.6866337029999</v>
      </c>
      <c r="G378" s="274">
        <f t="shared" si="16"/>
        <v>15.309965996999836</v>
      </c>
    </row>
    <row r="379" spans="1:7" ht="33" x14ac:dyDescent="0.25">
      <c r="A379" s="323" t="s">
        <v>668</v>
      </c>
      <c r="B379" s="251" t="str">
        <f>'целевые показатели'!B332</f>
        <v>Капитальный ремонт автомобильных дорог города Орла на улицах частной жилой застройки: пер. Локомотивный</v>
      </c>
      <c r="C379" s="273">
        <f>'целевые показатели'!L332</f>
        <v>2391.1957201499999</v>
      </c>
      <c r="D379" s="273">
        <v>0</v>
      </c>
      <c r="E379" s="273">
        <v>0</v>
      </c>
      <c r="F379" s="273">
        <f t="shared" si="17"/>
        <v>2367.2837629484998</v>
      </c>
      <c r="G379" s="274">
        <f t="shared" si="16"/>
        <v>23.911957201499717</v>
      </c>
    </row>
    <row r="380" spans="1:7" ht="33" x14ac:dyDescent="0.25">
      <c r="A380" s="323" t="s">
        <v>718</v>
      </c>
      <c r="B380" s="251" t="str">
        <f>'целевые показатели'!B333</f>
        <v>Капитальный ремонт автомобильных дорог города Орла на улицах частной жилой застройки: пер. Вагонный</v>
      </c>
      <c r="C380" s="273">
        <f>'целевые показатели'!L333</f>
        <v>1412.62060395</v>
      </c>
      <c r="D380" s="273">
        <v>0</v>
      </c>
      <c r="E380" s="273">
        <v>0</v>
      </c>
      <c r="F380" s="273">
        <f>C380*0.99-0.00001</f>
        <v>1398.4943879105001</v>
      </c>
      <c r="G380" s="274">
        <f>C380-F380-0.00001</f>
        <v>14.1262060394999</v>
      </c>
    </row>
    <row r="381" spans="1:7" ht="33" x14ac:dyDescent="0.25">
      <c r="A381" s="323" t="s">
        <v>669</v>
      </c>
      <c r="B381" s="251" t="str">
        <f>'целевые показатели'!B334</f>
        <v>Капитальный ремонт автомобильных дорог города Орла на улицах частной жилой застройки: пер. Бригадный</v>
      </c>
      <c r="C381" s="273">
        <f>'целевые показатели'!L334</f>
        <v>1680.9395656500001</v>
      </c>
      <c r="D381" s="273">
        <v>0</v>
      </c>
      <c r="E381" s="273">
        <v>0</v>
      </c>
      <c r="F381" s="273">
        <f t="shared" si="17"/>
        <v>1664.1301699935</v>
      </c>
      <c r="G381" s="274">
        <f t="shared" si="16"/>
        <v>16.809395656500101</v>
      </c>
    </row>
    <row r="382" spans="1:7" ht="33" x14ac:dyDescent="0.25">
      <c r="A382" s="323" t="s">
        <v>670</v>
      </c>
      <c r="B382" s="251" t="str">
        <f>'целевые показатели'!B335</f>
        <v>Капитальный ремонт автомобильных дорог города Орла на улицах частной жилой застройки: пер. Хлебный</v>
      </c>
      <c r="C382" s="273">
        <f>'целевые показатели'!L335</f>
        <v>3961.6509950999994</v>
      </c>
      <c r="D382" s="273">
        <v>0</v>
      </c>
      <c r="E382" s="273">
        <v>0</v>
      </c>
      <c r="F382" s="273">
        <f t="shared" si="17"/>
        <v>3922.0344851489995</v>
      </c>
      <c r="G382" s="274">
        <f t="shared" si="16"/>
        <v>39.616509950999898</v>
      </c>
    </row>
    <row r="383" spans="1:7" ht="33" x14ac:dyDescent="0.25">
      <c r="A383" s="323" t="s">
        <v>671</v>
      </c>
      <c r="B383" s="251" t="str">
        <f>'целевые показатели'!B336</f>
        <v>Капитальный ремонт автомобильных дорог города Орла на улицах частной жилой застройки: пер. Тупиковый</v>
      </c>
      <c r="C383" s="273">
        <f>'целевые показатели'!L336</f>
        <v>1388.9453688000001</v>
      </c>
      <c r="D383" s="273">
        <v>0</v>
      </c>
      <c r="E383" s="273">
        <v>0</v>
      </c>
      <c r="F383" s="273">
        <f t="shared" si="17"/>
        <v>1375.0559151120001</v>
      </c>
      <c r="G383" s="274">
        <f t="shared" si="16"/>
        <v>13.889453688000003</v>
      </c>
    </row>
    <row r="384" spans="1:7" ht="33" x14ac:dyDescent="0.25">
      <c r="A384" s="323" t="s">
        <v>672</v>
      </c>
      <c r="B384" s="251" t="str">
        <f>'целевые показатели'!B337</f>
        <v>Капитальный ремонт автомобильных дорог города Орла на улицах частной жилой застройки: ул. Медведева</v>
      </c>
      <c r="C384" s="273">
        <f>'целевые показатели'!L337</f>
        <v>8704.5837601499989</v>
      </c>
      <c r="D384" s="273">
        <v>0</v>
      </c>
      <c r="E384" s="273">
        <v>0</v>
      </c>
      <c r="F384" s="273">
        <f t="shared" si="17"/>
        <v>8617.5379225484994</v>
      </c>
      <c r="G384" s="274">
        <f t="shared" si="16"/>
        <v>87.045837601501262</v>
      </c>
    </row>
    <row r="385" spans="1:7" ht="33" x14ac:dyDescent="0.25">
      <c r="A385" s="323" t="s">
        <v>673</v>
      </c>
      <c r="B385" s="251" t="str">
        <f>'целевые показатели'!B338</f>
        <v>Капитальный ремонт автомобильных дорог города Орла на улицах частной жилой застройки: ул. Ново-Прядильная</v>
      </c>
      <c r="C385" s="273">
        <f>'целевые показатели'!L338</f>
        <v>3740.6824136999999</v>
      </c>
      <c r="D385" s="273">
        <v>0</v>
      </c>
      <c r="E385" s="273">
        <v>0</v>
      </c>
      <c r="F385" s="273">
        <f t="shared" si="17"/>
        <v>3703.2755895629998</v>
      </c>
      <c r="G385" s="274">
        <f t="shared" si="16"/>
        <v>37.406824137000058</v>
      </c>
    </row>
    <row r="386" spans="1:7" ht="33" x14ac:dyDescent="0.25">
      <c r="A386" s="323" t="s">
        <v>674</v>
      </c>
      <c r="B386" s="251" t="str">
        <f>'целевые показатели'!B339</f>
        <v>Капитальный ремонт автомобильных дорог города Орла на улицах частной жилой застройки: пер. Пожарный</v>
      </c>
      <c r="C386" s="273">
        <f>'целевые показатели'!L339</f>
        <v>1720.3982408999998</v>
      </c>
      <c r="D386" s="273">
        <v>0</v>
      </c>
      <c r="E386" s="273">
        <v>0</v>
      </c>
      <c r="F386" s="273">
        <f t="shared" si="17"/>
        <v>1703.1942584909998</v>
      </c>
      <c r="G386" s="274">
        <f t="shared" si="16"/>
        <v>17.203982408999991</v>
      </c>
    </row>
    <row r="387" spans="1:7" ht="33" x14ac:dyDescent="0.25">
      <c r="A387" s="323" t="s">
        <v>675</v>
      </c>
      <c r="B387" s="251" t="str">
        <f>'целевые показатели'!B340</f>
        <v>Капитальный ремонт автомобильных дорог города Орла на улицах частной жилой застройки: ул. Белинского</v>
      </c>
      <c r="C387" s="273">
        <f>'целевые показатели'!L340</f>
        <v>5492.6476247999999</v>
      </c>
      <c r="D387" s="273">
        <v>0</v>
      </c>
      <c r="E387" s="273">
        <v>0</v>
      </c>
      <c r="F387" s="273">
        <f>C387*0.99-0.00001</f>
        <v>5437.7211385520004</v>
      </c>
      <c r="G387" s="274">
        <f>C387-F387-0.00001</f>
        <v>54.926476247999496</v>
      </c>
    </row>
    <row r="388" spans="1:7" ht="33" x14ac:dyDescent="0.25">
      <c r="A388" s="323" t="s">
        <v>676</v>
      </c>
      <c r="B388" s="251" t="str">
        <f>'целевые показатели'!B341</f>
        <v>Капитальный ремонт автомобильных дорог города Орла на улицах частной жилой застройки: пер. Культурный</v>
      </c>
      <c r="C388" s="273">
        <f>'целевые показатели'!L341</f>
        <v>5768.8583215499993</v>
      </c>
      <c r="D388" s="273">
        <v>0</v>
      </c>
      <c r="E388" s="273">
        <v>0</v>
      </c>
      <c r="F388" s="273">
        <f t="shared" si="17"/>
        <v>5711.169738334499</v>
      </c>
      <c r="G388" s="274">
        <f t="shared" si="16"/>
        <v>57.68858321550033</v>
      </c>
    </row>
    <row r="389" spans="1:7" ht="33" x14ac:dyDescent="0.25">
      <c r="A389" s="323" t="s">
        <v>719</v>
      </c>
      <c r="B389" s="251" t="str">
        <f>'целевые показатели'!B342</f>
        <v>Капитальный ремонт автомобильных дорог города Орла на улицах частной жилой застройки: ул.Заводская</v>
      </c>
      <c r="C389" s="273">
        <f>'целевые показатели'!L342</f>
        <v>5989.8269029499997</v>
      </c>
      <c r="D389" s="273">
        <v>0</v>
      </c>
      <c r="E389" s="273">
        <v>0</v>
      </c>
      <c r="F389" s="273">
        <f t="shared" si="17"/>
        <v>5929.9286339205</v>
      </c>
      <c r="G389" s="274">
        <f t="shared" si="16"/>
        <v>59.898269029499716</v>
      </c>
    </row>
    <row r="390" spans="1:7" ht="33" x14ac:dyDescent="0.25">
      <c r="A390" s="323" t="s">
        <v>677</v>
      </c>
      <c r="B390" s="251" t="str">
        <f>'целевые показатели'!B343</f>
        <v>Капитальный ремонт автомобильных дорог города Орла на улицах частной жилой застройки: ул. 1 Пушкарная</v>
      </c>
      <c r="C390" s="273">
        <f>'целевые показатели'!L343</f>
        <v>11837.602574999999</v>
      </c>
      <c r="D390" s="273">
        <v>0</v>
      </c>
      <c r="E390" s="273">
        <v>0</v>
      </c>
      <c r="F390" s="273">
        <f t="shared" si="17"/>
        <v>11719.226549249999</v>
      </c>
      <c r="G390" s="274">
        <f t="shared" si="16"/>
        <v>118.37602575000165</v>
      </c>
    </row>
    <row r="391" spans="1:7" ht="33" x14ac:dyDescent="0.25">
      <c r="A391" s="323" t="s">
        <v>678</v>
      </c>
      <c r="B391" s="251" t="str">
        <f>'целевые показатели'!B344</f>
        <v>Капитальный ремонт автомобильных дорог города Орла на улицах частной жилой застройки: ул. 2 Пушкарная</v>
      </c>
      <c r="C391" s="273">
        <f>'целевые показатели'!L344</f>
        <v>9470.0820600000006</v>
      </c>
      <c r="D391" s="273">
        <v>0</v>
      </c>
      <c r="E391" s="273">
        <v>0</v>
      </c>
      <c r="F391" s="273">
        <f t="shared" si="17"/>
        <v>9375.3812393999997</v>
      </c>
      <c r="G391" s="274">
        <f t="shared" si="16"/>
        <v>94.700820600000952</v>
      </c>
    </row>
    <row r="392" spans="1:7" ht="33" x14ac:dyDescent="0.25">
      <c r="A392" s="323" t="s">
        <v>679</v>
      </c>
      <c r="B392" s="251" t="str">
        <f>'целевые показатели'!B345</f>
        <v>Капитальный ремонт автомобильных дорог города Орла на улицах частной жилой застройки: ул. Зеленый Берег</v>
      </c>
      <c r="C392" s="273">
        <f>'целевые показатели'!L345</f>
        <v>11048.429069999998</v>
      </c>
      <c r="D392" s="273">
        <v>0</v>
      </c>
      <c r="E392" s="273">
        <v>0</v>
      </c>
      <c r="F392" s="273">
        <f t="shared" si="17"/>
        <v>10937.944779299998</v>
      </c>
      <c r="G392" s="274">
        <f t="shared" si="16"/>
        <v>110.4842907000002</v>
      </c>
    </row>
    <row r="393" spans="1:7" ht="33" x14ac:dyDescent="0.25">
      <c r="A393" s="411" t="s">
        <v>680</v>
      </c>
      <c r="B393" s="251" t="str">
        <f>'целевые показатели'!B346</f>
        <v>Капитальный ремонт автомобильных дорог города Орла на улицах частной жилой застройки: наб. Есенина</v>
      </c>
      <c r="C393" s="273">
        <f>'целевые показатели'!L346</f>
        <v>6400.1971055500007</v>
      </c>
      <c r="D393" s="273">
        <v>0</v>
      </c>
      <c r="E393" s="273">
        <v>0</v>
      </c>
      <c r="F393" s="273">
        <f t="shared" si="17"/>
        <v>6336.195134494501</v>
      </c>
      <c r="G393" s="274">
        <f>C393-F393+0.00001</f>
        <v>64.001981055499797</v>
      </c>
    </row>
    <row r="394" spans="1:7" ht="33" x14ac:dyDescent="0.25">
      <c r="A394" s="411" t="s">
        <v>681</v>
      </c>
      <c r="B394" s="251" t="str">
        <f>'целевые показатели'!B347</f>
        <v>Капитальный ремонт автомобильных дорог города Орла на улицах частной жилой застройки: ул. Чапаева</v>
      </c>
      <c r="C394" s="273">
        <f>'целевые показатели'!L347</f>
        <v>8680.908555</v>
      </c>
      <c r="D394" s="273">
        <v>0</v>
      </c>
      <c r="E394" s="273">
        <v>0</v>
      </c>
      <c r="F394" s="273">
        <f t="shared" si="17"/>
        <v>8594.0994694500005</v>
      </c>
      <c r="G394" s="274">
        <f t="shared" si="16"/>
        <v>86.809085549999509</v>
      </c>
    </row>
    <row r="395" spans="1:7" ht="33" x14ac:dyDescent="0.25">
      <c r="A395" s="411" t="s">
        <v>682</v>
      </c>
      <c r="B395" s="251" t="str">
        <f>'целевые показатели'!B348</f>
        <v>Капитальный ремонт автомобильных дорог города Орла на улицах частной жилой застройки:ул. Садово-Пушкарная</v>
      </c>
      <c r="C395" s="273">
        <f>'целевые показатели'!L348</f>
        <v>17756.403862499996</v>
      </c>
      <c r="D395" s="273">
        <v>0</v>
      </c>
      <c r="E395" s="273">
        <v>0</v>
      </c>
      <c r="F395" s="273">
        <f t="shared" si="17"/>
        <v>17578.839823874994</v>
      </c>
      <c r="G395" s="274">
        <f t="shared" si="16"/>
        <v>177.56403862499792</v>
      </c>
    </row>
    <row r="396" spans="1:7" ht="33" x14ac:dyDescent="0.25">
      <c r="A396" s="411" t="s">
        <v>683</v>
      </c>
      <c r="B396" s="251" t="str">
        <f>'целевые показатели'!B349</f>
        <v>Капитальный ремонт автомобильных дорог города Орла на улицах частной жилой застройки: ул. Панчука</v>
      </c>
      <c r="C396" s="273">
        <f>'целевые показатели'!L349</f>
        <v>16572.643604999997</v>
      </c>
      <c r="D396" s="273">
        <v>0</v>
      </c>
      <c r="E396" s="273">
        <v>0</v>
      </c>
      <c r="F396" s="273">
        <f t="shared" si="17"/>
        <v>16406.917168949996</v>
      </c>
      <c r="G396" s="274">
        <f t="shared" si="16"/>
        <v>165.72643605000121</v>
      </c>
    </row>
    <row r="397" spans="1:7" ht="33" x14ac:dyDescent="0.25">
      <c r="A397" s="411" t="s">
        <v>684</v>
      </c>
      <c r="B397" s="251" t="str">
        <f>'целевые показатели'!B350</f>
        <v>Капитальный ремонт автомобильных дорог города Орла на улицах частной жилой застройки: ул. Достоевского</v>
      </c>
      <c r="C397" s="273">
        <f>'целевые показатели'!L350</f>
        <v>11837.602574999999</v>
      </c>
      <c r="D397" s="273">
        <v>0</v>
      </c>
      <c r="E397" s="273">
        <v>0</v>
      </c>
      <c r="F397" s="273">
        <f t="shared" si="17"/>
        <v>11719.226549249999</v>
      </c>
      <c r="G397" s="274">
        <f t="shared" si="16"/>
        <v>118.37602575000165</v>
      </c>
    </row>
    <row r="398" spans="1:7" ht="33" x14ac:dyDescent="0.25">
      <c r="A398" s="411" t="s">
        <v>685</v>
      </c>
      <c r="B398" s="251" t="str">
        <f>'целевые показатели'!B351</f>
        <v>Капитальный ремонт автомобильных дорог города Орла на улицах частной жилой застройки: ул. Циолковского</v>
      </c>
      <c r="C398" s="273">
        <f>'целевые показатели'!L351</f>
        <v>8680.908555</v>
      </c>
      <c r="D398" s="273">
        <v>0</v>
      </c>
      <c r="E398" s="273">
        <v>0</v>
      </c>
      <c r="F398" s="273">
        <f t="shared" si="17"/>
        <v>8594.0994694500005</v>
      </c>
      <c r="G398" s="274">
        <f t="shared" si="16"/>
        <v>86.809085549999509</v>
      </c>
    </row>
    <row r="399" spans="1:7" ht="33" x14ac:dyDescent="0.25">
      <c r="A399" s="411" t="s">
        <v>720</v>
      </c>
      <c r="B399" s="251" t="str">
        <f>'целевые показатели'!B352</f>
        <v>Капитальный ремонт автомобильных дорог города Орла на улицах частной жилой застройки: ул. Андреева</v>
      </c>
      <c r="C399" s="273">
        <f>'целевые показатели'!L352</f>
        <v>6285.7669673250002</v>
      </c>
      <c r="D399" s="273">
        <v>0</v>
      </c>
      <c r="E399" s="273">
        <v>0</v>
      </c>
      <c r="F399" s="273">
        <f t="shared" si="17"/>
        <v>6222.9092976517504</v>
      </c>
      <c r="G399" s="274">
        <f t="shared" si="16"/>
        <v>62.857669673249802</v>
      </c>
    </row>
    <row r="400" spans="1:7" ht="33" x14ac:dyDescent="0.25">
      <c r="A400" s="323" t="s">
        <v>686</v>
      </c>
      <c r="B400" s="251" t="str">
        <f>'целевые показатели'!B353</f>
        <v>Капитальный ремонт автомобильных дорог города Орла на улицах частной жилой застройки: ул. Спивака</v>
      </c>
      <c r="C400" s="273">
        <f>'целевые показатели'!L353</f>
        <v>16572.643604999997</v>
      </c>
      <c r="D400" s="273">
        <v>0</v>
      </c>
      <c r="E400" s="273">
        <v>0</v>
      </c>
      <c r="F400" s="273">
        <f t="shared" si="17"/>
        <v>16406.917168949996</v>
      </c>
      <c r="G400" s="274">
        <f t="shared" si="16"/>
        <v>165.72643605000121</v>
      </c>
    </row>
    <row r="401" spans="1:7" ht="33" x14ac:dyDescent="0.25">
      <c r="A401" s="411" t="s">
        <v>687</v>
      </c>
      <c r="B401" s="251" t="str">
        <f>'целевые показатели'!B354</f>
        <v>Капитальный ремонт автомобильных дорог города Орла на улицах частной жилой застройки: ул. Чайкиной</v>
      </c>
      <c r="C401" s="273">
        <f>'целевые показатели'!L354</f>
        <v>2825.2411478999998</v>
      </c>
      <c r="D401" s="273">
        <v>0</v>
      </c>
      <c r="E401" s="273">
        <v>0</v>
      </c>
      <c r="F401" s="273">
        <f t="shared" si="17"/>
        <v>2796.9887364209999</v>
      </c>
      <c r="G401" s="274">
        <f t="shared" si="16"/>
        <v>28.25241147900033</v>
      </c>
    </row>
    <row r="402" spans="1:7" ht="33" x14ac:dyDescent="0.25">
      <c r="A402" s="411" t="s">
        <v>688</v>
      </c>
      <c r="B402" s="251" t="str">
        <f>'целевые показатели'!B355</f>
        <v>Капитальный ремонт автомобильных дорог города Орла на улицах частной жилой застройки: ул. Земнухова</v>
      </c>
      <c r="C402" s="273">
        <f>'целевые показатели'!L355</f>
        <v>2888.3750282999999</v>
      </c>
      <c r="D402" s="273">
        <v>0</v>
      </c>
      <c r="E402" s="273">
        <v>0</v>
      </c>
      <c r="F402" s="273">
        <f t="shared" si="17"/>
        <v>2859.4912780169998</v>
      </c>
      <c r="G402" s="274">
        <f t="shared" si="16"/>
        <v>28.883750283000154</v>
      </c>
    </row>
    <row r="403" spans="1:7" ht="33" x14ac:dyDescent="0.25">
      <c r="A403" s="323" t="s">
        <v>689</v>
      </c>
      <c r="B403" s="251" t="str">
        <f>'целевые показатели'!B356</f>
        <v>Капитальный ремонт автомобильных дорог города Орла на улицах частной жилой застройки: ул. Кошевого</v>
      </c>
      <c r="C403" s="273">
        <f>'целевые показатели'!L356</f>
        <v>2919.9419684999998</v>
      </c>
      <c r="D403" s="273">
        <v>0</v>
      </c>
      <c r="E403" s="273">
        <v>0</v>
      </c>
      <c r="F403" s="273">
        <f t="shared" si="17"/>
        <v>2890.7425488149997</v>
      </c>
      <c r="G403" s="274">
        <f t="shared" si="16"/>
        <v>29.199419684999611</v>
      </c>
    </row>
    <row r="404" spans="1:7" ht="33" x14ac:dyDescent="0.25">
      <c r="A404" s="323" t="s">
        <v>690</v>
      </c>
      <c r="B404" s="251" t="str">
        <f>'целевые показатели'!B357</f>
        <v>Капитальный ремонт автомобильных дорог города Орла на улицах частной жилой застройки: ул. Тюленина</v>
      </c>
      <c r="C404" s="273">
        <f>'целевые показатели'!L357</f>
        <v>3638.0898580499997</v>
      </c>
      <c r="D404" s="273">
        <v>0</v>
      </c>
      <c r="E404" s="273">
        <v>0</v>
      </c>
      <c r="F404" s="273">
        <f t="shared" si="17"/>
        <v>3601.7089594694999</v>
      </c>
      <c r="G404" s="274">
        <f t="shared" si="16"/>
        <v>36.380898580500343</v>
      </c>
    </row>
    <row r="405" spans="1:7" ht="33" x14ac:dyDescent="0.25">
      <c r="A405" s="323" t="s">
        <v>704</v>
      </c>
      <c r="B405" s="251" t="str">
        <f>'целевые показатели'!B358</f>
        <v>Капитальный ремонт автомобильных дорог города Орла на улицах частной жилой застройки: ул. Громовой</v>
      </c>
      <c r="C405" s="273">
        <f>'целевые показатели'!L358</f>
        <v>2272.8197144000001</v>
      </c>
      <c r="D405" s="273">
        <v>0</v>
      </c>
      <c r="E405" s="273">
        <v>0</v>
      </c>
      <c r="F405" s="273">
        <f>C405*0.99-0.000007</f>
        <v>2250.0915102559998</v>
      </c>
      <c r="G405" s="274">
        <f t="shared" si="16"/>
        <v>22.728204143999847</v>
      </c>
    </row>
    <row r="406" spans="1:7" ht="33" x14ac:dyDescent="0.25">
      <c r="A406" s="323" t="s">
        <v>691</v>
      </c>
      <c r="B406" s="251" t="str">
        <f>'целевые показатели'!B359</f>
        <v>Капитальный ремонт автомобильных дорог города Орла на улицах частной жилой застройки: пер. Шевцовой</v>
      </c>
      <c r="C406" s="273">
        <f>'целевые показатели'!L359</f>
        <v>2706.8651221500004</v>
      </c>
      <c r="D406" s="273">
        <v>0</v>
      </c>
      <c r="E406" s="273">
        <v>0</v>
      </c>
      <c r="F406" s="273">
        <f t="shared" si="17"/>
        <v>2679.7964709285002</v>
      </c>
      <c r="G406" s="274">
        <f t="shared" si="16"/>
        <v>27.068651221499749</v>
      </c>
    </row>
    <row r="407" spans="1:7" ht="33" x14ac:dyDescent="0.25">
      <c r="A407" s="323" t="s">
        <v>692</v>
      </c>
      <c r="B407" s="251" t="str">
        <f>'целевые показатели'!B360</f>
        <v>Капитальный ремонт автомобильных дорог города Орла на улицах частной жилой застройки: ул. Островского</v>
      </c>
      <c r="C407" s="273">
        <f>'целевые показатели'!L360</f>
        <v>6550.1400914999995</v>
      </c>
      <c r="D407" s="273">
        <v>0</v>
      </c>
      <c r="E407" s="273">
        <v>0</v>
      </c>
      <c r="F407" s="273">
        <f t="shared" si="17"/>
        <v>6484.6386905849995</v>
      </c>
      <c r="G407" s="274">
        <f t="shared" si="16"/>
        <v>65.501400914999977</v>
      </c>
    </row>
    <row r="408" spans="1:7" ht="33" x14ac:dyDescent="0.25">
      <c r="A408" s="323" t="s">
        <v>693</v>
      </c>
      <c r="B408" s="251" t="str">
        <f>'целевые показатели'!B361</f>
        <v>Капитальный ремонт автомобильных дорог города Орла на улицах частной жилой застройки: ул. Моховая</v>
      </c>
      <c r="C408" s="273">
        <f>'целевые показатели'!L361</f>
        <v>6534.3566413999988</v>
      </c>
      <c r="D408" s="273">
        <v>0</v>
      </c>
      <c r="E408" s="273">
        <v>0</v>
      </c>
      <c r="F408" s="273">
        <f t="shared" si="17"/>
        <v>6469.0130749859991</v>
      </c>
      <c r="G408" s="274">
        <f t="shared" si="16"/>
        <v>65.343566413999724</v>
      </c>
    </row>
    <row r="409" spans="1:7" ht="33" x14ac:dyDescent="0.25">
      <c r="A409" s="323" t="s">
        <v>721</v>
      </c>
      <c r="B409" s="251" t="str">
        <f>'целевые показатели'!B362</f>
        <v>Капитальный ремонт автомобильных дорог города Орла на улицах частной жилой застройки: ул. Калужская</v>
      </c>
      <c r="C409" s="273">
        <f>'целевые показатели'!L362</f>
        <v>8680.908555</v>
      </c>
      <c r="D409" s="273">
        <v>0</v>
      </c>
      <c r="E409" s="273">
        <v>0</v>
      </c>
      <c r="F409" s="273">
        <f t="shared" si="17"/>
        <v>8594.0994694500005</v>
      </c>
      <c r="G409" s="274">
        <f t="shared" si="16"/>
        <v>86.809085549999509</v>
      </c>
    </row>
    <row r="410" spans="1:7" ht="33" x14ac:dyDescent="0.25">
      <c r="A410" s="323" t="s">
        <v>694</v>
      </c>
      <c r="B410" s="251" t="str">
        <f>'целевые показатели'!B363</f>
        <v>Капитальный ремонт автомобильных дорог города Орла на улицах частной жилой застройки: ул. Восточная</v>
      </c>
      <c r="C410" s="273">
        <f>'целевые показатели'!L363</f>
        <v>6518.5731513000001</v>
      </c>
      <c r="D410" s="273">
        <v>0</v>
      </c>
      <c r="E410" s="273">
        <v>0</v>
      </c>
      <c r="F410" s="273">
        <f t="shared" si="17"/>
        <v>6453.387419787</v>
      </c>
      <c r="G410" s="274">
        <f t="shared" si="16"/>
        <v>65.185731513000064</v>
      </c>
    </row>
    <row r="411" spans="1:7" ht="33" x14ac:dyDescent="0.25">
      <c r="A411" s="323" t="s">
        <v>695</v>
      </c>
      <c r="B411" s="251" t="str">
        <f>'целевые показатели'!B364</f>
        <v>Капитальный ремонт автомобильных дорог города Орла на улицах частной жилой застройки: ул. Ольховецкая</v>
      </c>
      <c r="C411" s="273">
        <f>'целевые показатели'!L364</f>
        <v>5169.0864177499998</v>
      </c>
      <c r="D411" s="273">
        <v>0</v>
      </c>
      <c r="E411" s="273">
        <v>0</v>
      </c>
      <c r="F411" s="273">
        <f>C411*0.99+0.00001</f>
        <v>5117.3955635724997</v>
      </c>
      <c r="G411" s="274">
        <f>C411-F411+0.00001</f>
        <v>51.690864177500103</v>
      </c>
    </row>
    <row r="412" spans="1:7" ht="33" x14ac:dyDescent="0.25">
      <c r="A412" s="323" t="s">
        <v>696</v>
      </c>
      <c r="B412" s="251" t="str">
        <f>'целевые показатели'!B365</f>
        <v>Капитальный ремонт автомобильных дорог города Орла на улицах частной жилой застройки: ул. Краснозоренская</v>
      </c>
      <c r="C412" s="273">
        <f>'целевые показатели'!L365</f>
        <v>6731.649997649999</v>
      </c>
      <c r="D412" s="273">
        <v>0</v>
      </c>
      <c r="E412" s="273">
        <v>0</v>
      </c>
      <c r="F412" s="273">
        <f t="shared" si="17"/>
        <v>6664.3334976734986</v>
      </c>
      <c r="G412" s="274">
        <f t="shared" si="16"/>
        <v>67.316499976500381</v>
      </c>
    </row>
    <row r="413" spans="1:7" ht="33" x14ac:dyDescent="0.25">
      <c r="A413" s="323" t="s">
        <v>697</v>
      </c>
      <c r="B413" s="251" t="str">
        <f>'целевые показатели'!B366</f>
        <v>Капитальный ремонт автомобильных дорог города Орла на улицах частной жилой застройки: ул. Придорожная</v>
      </c>
      <c r="C413" s="273">
        <f>'целевые показатели'!L366</f>
        <v>2564.8138912499999</v>
      </c>
      <c r="D413" s="273">
        <v>0</v>
      </c>
      <c r="E413" s="273">
        <v>0</v>
      </c>
      <c r="F413" s="273">
        <f t="shared" si="17"/>
        <v>2539.1657523374997</v>
      </c>
      <c r="G413" s="274">
        <f t="shared" si="16"/>
        <v>25.648138912499689</v>
      </c>
    </row>
    <row r="414" spans="1:7" ht="33" x14ac:dyDescent="0.25">
      <c r="A414" s="323" t="s">
        <v>705</v>
      </c>
      <c r="B414" s="251" t="str">
        <f>'целевые показатели'!B367</f>
        <v>Капитальный ремонт автомобильных дорог города Орла на улицах частной жилой застройки: пер. Лебединый</v>
      </c>
      <c r="C414" s="273">
        <f>'целевые показатели'!L367</f>
        <v>844.41565034999985</v>
      </c>
      <c r="D414" s="273">
        <v>0</v>
      </c>
      <c r="E414" s="273">
        <v>0</v>
      </c>
      <c r="F414" s="273">
        <f t="shared" si="17"/>
        <v>835.97149384649981</v>
      </c>
      <c r="G414" s="274">
        <f t="shared" si="16"/>
        <v>8.4441565034999257</v>
      </c>
    </row>
    <row r="415" spans="1:7" ht="33" x14ac:dyDescent="0.25">
      <c r="A415" s="323" t="s">
        <v>698</v>
      </c>
      <c r="B415" s="251" t="str">
        <f>'целевые показатели'!B368</f>
        <v>Капитальный ремонт автомобильных дорог города Орла на улицах частной жилой застройки: ул. Мебельная</v>
      </c>
      <c r="C415" s="273">
        <f>'целевые показатели'!L368</f>
        <v>1744.0734360500001</v>
      </c>
      <c r="D415" s="273">
        <v>0</v>
      </c>
      <c r="E415" s="273">
        <v>0</v>
      </c>
      <c r="F415" s="273">
        <f t="shared" si="17"/>
        <v>1726.6327016895</v>
      </c>
      <c r="G415" s="274">
        <f>C415-F415+0.00001</f>
        <v>17.440744360500101</v>
      </c>
    </row>
    <row r="416" spans="1:7" ht="33" x14ac:dyDescent="0.25">
      <c r="A416" s="323" t="s">
        <v>699</v>
      </c>
      <c r="B416" s="251" t="str">
        <f>'целевые показатели'!B369</f>
        <v>Капитальный ремонт автомобильных дорог города Орла на улицах частной жилой застройки: пер. Краснозоренский</v>
      </c>
      <c r="C416" s="273">
        <f>'целевые показатели'!L369</f>
        <v>1736.181711</v>
      </c>
      <c r="D416" s="273">
        <v>0</v>
      </c>
      <c r="E416" s="273">
        <v>0</v>
      </c>
      <c r="F416" s="273">
        <f t="shared" si="17"/>
        <v>1718.81989389</v>
      </c>
      <c r="G416" s="274">
        <f t="shared" si="16"/>
        <v>17.361817109999947</v>
      </c>
    </row>
    <row r="417" spans="1:8" ht="33" x14ac:dyDescent="0.25">
      <c r="A417" s="323" t="s">
        <v>700</v>
      </c>
      <c r="B417" s="251" t="str">
        <f>'целевые показатели'!B370</f>
        <v>Капитальный ремонт автомобильных дорог города Орла на улицах частной жилой застройки: пер. Столярный</v>
      </c>
      <c r="C417" s="273">
        <f>'целевые показатели'!L370-0.000005</f>
        <v>947.00817600000005</v>
      </c>
      <c r="D417" s="273">
        <v>0</v>
      </c>
      <c r="E417" s="273">
        <v>0</v>
      </c>
      <c r="F417" s="273">
        <f>C417*0.99+0.00001</f>
        <v>937.53810423999994</v>
      </c>
      <c r="G417" s="274">
        <f>C417-F417+0.00001</f>
        <v>9.4700817600001095</v>
      </c>
    </row>
    <row r="418" spans="1:8" ht="33" x14ac:dyDescent="0.25">
      <c r="A418" s="323" t="s">
        <v>701</v>
      </c>
      <c r="B418" s="251" t="str">
        <f>'целевые показатели'!B371</f>
        <v>Капитальный ремонт автомобильных дорог города Орла на улицах частной жилой застройки: ул. Надежды</v>
      </c>
      <c r="C418" s="273">
        <f>'целевые показатели'!L371</f>
        <v>3748.5741487499999</v>
      </c>
      <c r="D418" s="273">
        <v>0</v>
      </c>
      <c r="E418" s="273">
        <v>0</v>
      </c>
      <c r="F418" s="273">
        <f t="shared" si="17"/>
        <v>3711.0884072624999</v>
      </c>
      <c r="G418" s="274">
        <f t="shared" si="16"/>
        <v>37.485741487500036</v>
      </c>
    </row>
    <row r="419" spans="1:8" ht="33" x14ac:dyDescent="0.25">
      <c r="A419" s="323" t="s">
        <v>722</v>
      </c>
      <c r="B419" s="251" t="str">
        <f>'целевые показатели'!B372</f>
        <v>Капитальный ремонт автомобильных дорог города Орла на улицах частной жилой застройки: ул. Сечкина</v>
      </c>
      <c r="C419" s="273">
        <f>'целевые показатели'!L372</f>
        <v>2280.7114294499997</v>
      </c>
      <c r="D419" s="273">
        <v>0</v>
      </c>
      <c r="E419" s="273">
        <v>0</v>
      </c>
      <c r="F419" s="273">
        <f t="shared" si="17"/>
        <v>2257.9043151554997</v>
      </c>
      <c r="G419" s="274">
        <f t="shared" si="16"/>
        <v>22.807114294500025</v>
      </c>
    </row>
    <row r="420" spans="1:8" ht="33" x14ac:dyDescent="0.25">
      <c r="A420" s="323" t="s">
        <v>702</v>
      </c>
      <c r="B420" s="251" t="str">
        <f>'целевые показатели'!B373</f>
        <v>Капитальный ремонт автомобильных дорог города Орла на улицах частной жилой застройки: пер. Сечкина</v>
      </c>
      <c r="C420" s="273">
        <f>'целевые показатели'!L373</f>
        <v>1996.6089676500001</v>
      </c>
      <c r="D420" s="273">
        <v>0</v>
      </c>
      <c r="E420" s="273">
        <v>0</v>
      </c>
      <c r="F420" s="273">
        <f t="shared" si="17"/>
        <v>1976.6428779735002</v>
      </c>
      <c r="G420" s="274">
        <f t="shared" si="16"/>
        <v>19.966089676500133</v>
      </c>
    </row>
    <row r="421" spans="1:8" ht="33" x14ac:dyDescent="0.25">
      <c r="A421" s="323" t="s">
        <v>723</v>
      </c>
      <c r="B421" s="251" t="str">
        <f>'целевые показатели'!B374</f>
        <v>Капитальный ремонт автомобильных дорог города Орла на улицах частной жилой застройки: ул. Героев Чекистов</v>
      </c>
      <c r="C421" s="273">
        <f>'целевые показатели'!L374</f>
        <v>1625.6974203</v>
      </c>
      <c r="D421" s="273">
        <v>0</v>
      </c>
      <c r="E421" s="273">
        <v>0</v>
      </c>
      <c r="F421" s="273">
        <f t="shared" si="17"/>
        <v>1609.4404460969999</v>
      </c>
      <c r="G421" s="274">
        <f t="shared" si="16"/>
        <v>16.256974203000027</v>
      </c>
    </row>
    <row r="422" spans="1:8" ht="33" x14ac:dyDescent="0.25">
      <c r="A422" s="323" t="s">
        <v>703</v>
      </c>
      <c r="B422" s="251" t="str">
        <f>'целевые показатели'!B375</f>
        <v>Капитальный ремонт автомобильных дорог города Орла на улицах частной жилой застройки: ул. Героев Милиционеров</v>
      </c>
      <c r="C422" s="273">
        <f>'целевые показатели'!L375</f>
        <v>757.60613600000011</v>
      </c>
      <c r="D422" s="273">
        <v>0</v>
      </c>
      <c r="E422" s="273">
        <v>0</v>
      </c>
      <c r="F422" s="273">
        <f t="shared" si="17"/>
        <v>750.03007464000007</v>
      </c>
      <c r="G422" s="274">
        <f>C422-F422+0.00001</f>
        <v>7.5760713600000393</v>
      </c>
    </row>
    <row r="423" spans="1:8" ht="33" x14ac:dyDescent="0.25">
      <c r="A423" s="323" t="s">
        <v>724</v>
      </c>
      <c r="B423" s="251" t="str">
        <f>'целевые показатели'!B376</f>
        <v>Капитальный ремонт автомобильных дорог города Орла на улицах частной жилой застройки: ул. Благининой</v>
      </c>
      <c r="C423" s="273">
        <f>'целевые показатели'!L376</f>
        <v>16250.152048</v>
      </c>
      <c r="D423" s="273">
        <v>0</v>
      </c>
      <c r="E423" s="273">
        <v>0</v>
      </c>
      <c r="F423" s="273">
        <f t="shared" si="17"/>
        <v>16087.65052752</v>
      </c>
      <c r="G423" s="274">
        <f t="shared" si="16"/>
        <v>162.50152048000018</v>
      </c>
    </row>
    <row r="424" spans="1:8" ht="21" customHeight="1" x14ac:dyDescent="0.25">
      <c r="A424" s="747" t="s">
        <v>21</v>
      </c>
      <c r="B424" s="748"/>
      <c r="C424" s="748"/>
      <c r="D424" s="748"/>
      <c r="E424" s="748"/>
      <c r="F424" s="748"/>
      <c r="G424" s="749"/>
    </row>
    <row r="425" spans="1:8" x14ac:dyDescent="0.25">
      <c r="A425" s="320">
        <v>1</v>
      </c>
      <c r="B425" s="219" t="s">
        <v>44</v>
      </c>
      <c r="C425" s="321">
        <f>SUM(C427:C435)</f>
        <v>909090.9090937071</v>
      </c>
      <c r="D425" s="321">
        <f>SUM(D427:D435)</f>
        <v>0</v>
      </c>
      <c r="E425" s="321">
        <f>SUM(E427:E435)</f>
        <v>0</v>
      </c>
      <c r="F425" s="321">
        <f>SUM(F427:F435)</f>
        <v>900000.0000027701</v>
      </c>
      <c r="G425" s="322">
        <f>SUM(G427:G435)</f>
        <v>3421.4297982000126</v>
      </c>
      <c r="H425" s="208">
        <f>'целевые показатели'!M26</f>
        <v>909090.90908999997</v>
      </c>
    </row>
    <row r="426" spans="1:8" x14ac:dyDescent="0.25">
      <c r="A426" s="323" t="s">
        <v>45</v>
      </c>
      <c r="B426" s="223" t="s">
        <v>22</v>
      </c>
      <c r="C426" s="273">
        <f>SUM(C427:C430)</f>
        <v>734795.99539370718</v>
      </c>
      <c r="D426" s="273">
        <f>SUM(D427:D430)</f>
        <v>0</v>
      </c>
      <c r="E426" s="273">
        <f>SUM(E427:E430)</f>
        <v>0</v>
      </c>
      <c r="F426" s="273">
        <f>SUM(F427:F430)</f>
        <v>727448.03543977009</v>
      </c>
      <c r="G426" s="274">
        <f>C426-F426</f>
        <v>7347.959953936981</v>
      </c>
    </row>
    <row r="427" spans="1:8" x14ac:dyDescent="0.25">
      <c r="A427" s="356" t="s">
        <v>172</v>
      </c>
      <c r="B427" s="230" t="s">
        <v>169</v>
      </c>
      <c r="C427" s="231">
        <v>20000</v>
      </c>
      <c r="D427" s="326">
        <v>0</v>
      </c>
      <c r="E427" s="326">
        <v>0</v>
      </c>
      <c r="F427" s="326">
        <f>C427*0.99</f>
        <v>19800</v>
      </c>
      <c r="G427" s="327">
        <f>C427-F427</f>
        <v>200</v>
      </c>
    </row>
    <row r="428" spans="1:8" ht="31.5" x14ac:dyDescent="0.25">
      <c r="A428" s="356" t="s">
        <v>173</v>
      </c>
      <c r="B428" s="230" t="s">
        <v>178</v>
      </c>
      <c r="C428" s="231">
        <v>100873.39939999999</v>
      </c>
      <c r="D428" s="326">
        <v>0</v>
      </c>
      <c r="E428" s="326">
        <v>0</v>
      </c>
      <c r="F428" s="326">
        <f t="shared" ref="F428:F435" si="18">C428*0.99</f>
        <v>99864.665406</v>
      </c>
      <c r="G428" s="327">
        <f t="shared" ref="G428:G435" si="19">C428-F428</f>
        <v>1008.7339939999947</v>
      </c>
    </row>
    <row r="429" spans="1:8" ht="31.5" x14ac:dyDescent="0.25">
      <c r="A429" s="356" t="s">
        <v>174</v>
      </c>
      <c r="B429" s="230" t="s">
        <v>170</v>
      </c>
      <c r="C429" s="231">
        <v>4025.1717699999999</v>
      </c>
      <c r="D429" s="326">
        <v>0</v>
      </c>
      <c r="E429" s="326">
        <v>0</v>
      </c>
      <c r="F429" s="326">
        <f t="shared" si="18"/>
        <v>3984.9200523</v>
      </c>
      <c r="G429" s="327">
        <f t="shared" si="19"/>
        <v>40.251717699999972</v>
      </c>
    </row>
    <row r="430" spans="1:8" x14ac:dyDescent="0.25">
      <c r="A430" s="356" t="s">
        <v>175</v>
      </c>
      <c r="B430" s="230" t="s">
        <v>171</v>
      </c>
      <c r="C430" s="231">
        <v>609897.42422370717</v>
      </c>
      <c r="D430" s="326">
        <v>0</v>
      </c>
      <c r="E430" s="326">
        <v>0</v>
      </c>
      <c r="F430" s="326">
        <f t="shared" si="18"/>
        <v>603798.44998147013</v>
      </c>
      <c r="G430" s="327">
        <f>C431-F431</f>
        <v>429.49494950000371</v>
      </c>
    </row>
    <row r="431" spans="1:8" x14ac:dyDescent="0.25">
      <c r="A431" s="379" t="s">
        <v>46</v>
      </c>
      <c r="B431" s="223" t="s">
        <v>23</v>
      </c>
      <c r="C431" s="273">
        <f>'целевые показатели'!M28</f>
        <v>42949.49495</v>
      </c>
      <c r="D431" s="273">
        <v>0</v>
      </c>
      <c r="E431" s="273">
        <v>0</v>
      </c>
      <c r="F431" s="326">
        <f t="shared" si="18"/>
        <v>42520.000000499997</v>
      </c>
      <c r="G431" s="274">
        <f t="shared" si="19"/>
        <v>429.49494950000371</v>
      </c>
    </row>
    <row r="432" spans="1:8" ht="16.5" x14ac:dyDescent="0.25">
      <c r="A432" s="323" t="s">
        <v>47</v>
      </c>
      <c r="B432" s="279" t="s">
        <v>185</v>
      </c>
      <c r="C432" s="273">
        <f>'целевые показатели'!M29</f>
        <v>116193.90360000001</v>
      </c>
      <c r="D432" s="273">
        <v>0</v>
      </c>
      <c r="E432" s="273">
        <v>0</v>
      </c>
      <c r="F432" s="273">
        <f t="shared" si="18"/>
        <v>115031.96456400001</v>
      </c>
      <c r="G432" s="274">
        <f t="shared" si="19"/>
        <v>1161.9390360000107</v>
      </c>
    </row>
    <row r="433" spans="1:10" ht="31.5" x14ac:dyDescent="0.25">
      <c r="A433" s="323" t="s">
        <v>48</v>
      </c>
      <c r="B433" s="243" t="s">
        <v>24</v>
      </c>
      <c r="C433" s="273">
        <f>'целевые показатели'!M30</f>
        <v>10101.0101</v>
      </c>
      <c r="D433" s="273">
        <v>0</v>
      </c>
      <c r="E433" s="273">
        <v>0</v>
      </c>
      <c r="F433" s="273">
        <f t="shared" si="18"/>
        <v>9999.9999989999997</v>
      </c>
      <c r="G433" s="274">
        <f t="shared" si="19"/>
        <v>101.01010099999985</v>
      </c>
    </row>
    <row r="434" spans="1:10" ht="31.5" x14ac:dyDescent="0.25">
      <c r="A434" s="323" t="s">
        <v>49</v>
      </c>
      <c r="B434" s="247" t="s">
        <v>25</v>
      </c>
      <c r="C434" s="273">
        <f>'целевые показатели'!M32</f>
        <v>5050.5050499999998</v>
      </c>
      <c r="D434" s="273">
        <v>0</v>
      </c>
      <c r="E434" s="273">
        <v>0</v>
      </c>
      <c r="F434" s="273">
        <f t="shared" si="18"/>
        <v>4999.9999994999998</v>
      </c>
      <c r="G434" s="274">
        <f t="shared" si="19"/>
        <v>50.505050499999925</v>
      </c>
    </row>
    <row r="435" spans="1:10" ht="16.5" x14ac:dyDescent="0.25">
      <c r="A435" s="323" t="s">
        <v>155</v>
      </c>
      <c r="B435" s="251" t="s">
        <v>154</v>
      </c>
      <c r="C435" s="273">
        <f>'целевые показатели'!M33</f>
        <v>0</v>
      </c>
      <c r="D435" s="273">
        <v>0</v>
      </c>
      <c r="E435" s="273">
        <v>0</v>
      </c>
      <c r="F435" s="273">
        <f t="shared" si="18"/>
        <v>0</v>
      </c>
      <c r="G435" s="274">
        <f t="shared" si="19"/>
        <v>0</v>
      </c>
    </row>
    <row r="436" spans="1:10" ht="31.5" x14ac:dyDescent="0.25">
      <c r="A436" s="320">
        <v>2</v>
      </c>
      <c r="B436" s="219" t="s">
        <v>15</v>
      </c>
      <c r="C436" s="305">
        <f>SUM(C437:C437)</f>
        <v>3947</v>
      </c>
      <c r="D436" s="305">
        <f>SUM(D437:D437)</f>
        <v>0</v>
      </c>
      <c r="E436" s="305">
        <f>SUM(E437:E437)</f>
        <v>0</v>
      </c>
      <c r="F436" s="305">
        <f>SUM(F437:F437)</f>
        <v>0</v>
      </c>
      <c r="G436" s="341">
        <f>SUM(G437:G437)</f>
        <v>3947</v>
      </c>
    </row>
    <row r="437" spans="1:10" ht="31.5" x14ac:dyDescent="0.25">
      <c r="A437" s="323" t="s">
        <v>159</v>
      </c>
      <c r="B437" s="243" t="str">
        <f>'целевые показатели'!B129</f>
        <v>разработка проектно-сметной документации и проведение проверки достоверности сметной стоимости</v>
      </c>
      <c r="C437" s="343">
        <f>'целевые показатели'!M129</f>
        <v>3947</v>
      </c>
      <c r="D437" s="343">
        <v>0</v>
      </c>
      <c r="E437" s="343">
        <v>0</v>
      </c>
      <c r="F437" s="273">
        <v>0</v>
      </c>
      <c r="G437" s="274">
        <f>C437-F437</f>
        <v>3947</v>
      </c>
      <c r="H437" s="270" t="s">
        <v>726</v>
      </c>
    </row>
    <row r="438" spans="1:10" ht="94.5" x14ac:dyDescent="0.25">
      <c r="A438" s="320">
        <v>3</v>
      </c>
      <c r="B438" s="219" t="s">
        <v>436</v>
      </c>
      <c r="C438" s="321">
        <f>SUM(C439:C440)</f>
        <v>306030.30303000001</v>
      </c>
      <c r="D438" s="321">
        <f>SUM(D439:D440)</f>
        <v>0</v>
      </c>
      <c r="E438" s="321">
        <f>SUM(E439:E440)</f>
        <v>0</v>
      </c>
      <c r="F438" s="321">
        <f>SUM(F439:F440)</f>
        <v>299999.9999997</v>
      </c>
      <c r="G438" s="322">
        <f>SUM(G439:G440)</f>
        <v>6030.3030303000123</v>
      </c>
    </row>
    <row r="439" spans="1:10" ht="16.5" x14ac:dyDescent="0.25">
      <c r="A439" s="323" t="s">
        <v>68</v>
      </c>
      <c r="B439" s="279" t="str">
        <f>'целевые показатели'!B155</f>
        <v>Московское шоссе (от пер.Межевого до ул.Рощинской)</v>
      </c>
      <c r="C439" s="273">
        <f>'целевые показатели'!M155</f>
        <v>303030.30303000001</v>
      </c>
      <c r="D439" s="273">
        <v>0</v>
      </c>
      <c r="E439" s="273">
        <v>0</v>
      </c>
      <c r="F439" s="273">
        <f>C439*0.99</f>
        <v>299999.9999997</v>
      </c>
      <c r="G439" s="274">
        <f>C439-F439</f>
        <v>3030.3030303000123</v>
      </c>
    </row>
    <row r="440" spans="1:10" ht="33" x14ac:dyDescent="0.25">
      <c r="A440" s="323" t="s">
        <v>69</v>
      </c>
      <c r="B440" s="279" t="str">
        <f>'целевые показатели'!B158</f>
        <v>разработка проектно-сметной документации и проведение проверки достоверности сметной стоимости</v>
      </c>
      <c r="C440" s="273">
        <f>'целевые показатели'!M158</f>
        <v>3000</v>
      </c>
      <c r="D440" s="273">
        <v>0</v>
      </c>
      <c r="E440" s="273">
        <v>0</v>
      </c>
      <c r="F440" s="273">
        <v>0</v>
      </c>
      <c r="G440" s="274">
        <f>C440-F440</f>
        <v>3000</v>
      </c>
    </row>
    <row r="441" spans="1:10" ht="49.5" x14ac:dyDescent="0.25">
      <c r="A441" s="323">
        <v>4</v>
      </c>
      <c r="B441" s="308" t="s">
        <v>13</v>
      </c>
      <c r="C441" s="321">
        <f>SUM(C442:C444)</f>
        <v>2200</v>
      </c>
      <c r="D441" s="321">
        <f>SUM(D442:D444)</f>
        <v>0</v>
      </c>
      <c r="E441" s="321">
        <f>SUM(E442:E444)</f>
        <v>0</v>
      </c>
      <c r="F441" s="321">
        <f>SUM(F442:F444)</f>
        <v>0</v>
      </c>
      <c r="G441" s="322">
        <f>SUM(G442:G444)</f>
        <v>2200</v>
      </c>
    </row>
    <row r="442" spans="1:10" ht="33" x14ac:dyDescent="0.25">
      <c r="A442" s="323" t="s">
        <v>383</v>
      </c>
      <c r="B442" s="251" t="s">
        <v>146</v>
      </c>
      <c r="C442" s="273">
        <f>'целевые показатели'!M170</f>
        <v>150</v>
      </c>
      <c r="D442" s="273">
        <v>0</v>
      </c>
      <c r="E442" s="273">
        <v>0</v>
      </c>
      <c r="F442" s="273">
        <v>0</v>
      </c>
      <c r="G442" s="274">
        <f>C442-F442</f>
        <v>150</v>
      </c>
    </row>
    <row r="443" spans="1:10" ht="33" x14ac:dyDescent="0.25">
      <c r="A443" s="323" t="s">
        <v>423</v>
      </c>
      <c r="B443" s="251" t="s">
        <v>147</v>
      </c>
      <c r="C443" s="273">
        <f>'целевые показатели'!M171</f>
        <v>150</v>
      </c>
      <c r="D443" s="273">
        <v>0</v>
      </c>
      <c r="E443" s="273">
        <v>0</v>
      </c>
      <c r="F443" s="273">
        <v>0</v>
      </c>
      <c r="G443" s="274">
        <f>C443-F443</f>
        <v>150</v>
      </c>
    </row>
    <row r="444" spans="1:10" ht="16.5" x14ac:dyDescent="0.25">
      <c r="A444" s="323" t="s">
        <v>424</v>
      </c>
      <c r="B444" s="251" t="s">
        <v>321</v>
      </c>
      <c r="C444" s="273">
        <f>'целевые показатели'!M193</f>
        <v>1900</v>
      </c>
      <c r="D444" s="273">
        <v>0</v>
      </c>
      <c r="E444" s="273">
        <v>0</v>
      </c>
      <c r="F444" s="273">
        <v>0</v>
      </c>
      <c r="G444" s="274">
        <f>C444-F444</f>
        <v>1900</v>
      </c>
    </row>
    <row r="445" spans="1:10" ht="110.25" x14ac:dyDescent="0.25">
      <c r="A445" s="320">
        <v>5</v>
      </c>
      <c r="B445" s="303" t="s">
        <v>437</v>
      </c>
      <c r="C445" s="321">
        <f>'целевые показатели'!M203</f>
        <v>90490.606070000009</v>
      </c>
      <c r="D445" s="321">
        <f>'целевые показатели'!M207</f>
        <v>80627.100000000006</v>
      </c>
      <c r="E445" s="321">
        <v>0</v>
      </c>
      <c r="F445" s="321">
        <f>'целевые показатели'!M208</f>
        <v>8958.6</v>
      </c>
      <c r="G445" s="322">
        <f>'целевые показатели'!M209</f>
        <v>904.90607</v>
      </c>
      <c r="H445" s="208">
        <f>'целевые показатели'!M203</f>
        <v>90490.606070000009</v>
      </c>
    </row>
    <row r="446" spans="1:10" ht="31.5" x14ac:dyDescent="0.25">
      <c r="A446" s="320">
        <v>6</v>
      </c>
      <c r="B446" s="303" t="s">
        <v>294</v>
      </c>
      <c r="C446" s="321">
        <f>C447+C463</f>
        <v>104957.10101</v>
      </c>
      <c r="D446" s="321">
        <f t="shared" ref="D446:E446" si="20">SUM(D447:D463)</f>
        <v>0</v>
      </c>
      <c r="E446" s="321">
        <f t="shared" si="20"/>
        <v>0</v>
      </c>
      <c r="F446" s="321">
        <f>SUM(F447)</f>
        <v>99999.999999899999</v>
      </c>
      <c r="G446" s="322">
        <f>G447+G463</f>
        <v>4957.1010101000002</v>
      </c>
      <c r="I446" s="352">
        <v>349817.2</v>
      </c>
      <c r="J446" s="410" t="s">
        <v>752</v>
      </c>
    </row>
    <row r="447" spans="1:10" ht="47.25" x14ac:dyDescent="0.25">
      <c r="A447" s="412" t="s">
        <v>769</v>
      </c>
      <c r="B447" s="243" t="s">
        <v>794</v>
      </c>
      <c r="C447" s="273">
        <v>101010.10101</v>
      </c>
      <c r="D447" s="273">
        <v>0</v>
      </c>
      <c r="E447" s="273">
        <v>0</v>
      </c>
      <c r="F447" s="273">
        <f>C447*0.99</f>
        <v>99999.999999899999</v>
      </c>
      <c r="G447" s="274">
        <f>C447-F447</f>
        <v>1010.1010100999993</v>
      </c>
      <c r="I447" s="208">
        <f>F446-100000</f>
        <v>-1.0000076144933701E-7</v>
      </c>
      <c r="J447" s="273">
        <v>84904.697069999995</v>
      </c>
    </row>
    <row r="448" spans="1:10" ht="38.25" hidden="1" customHeight="1" x14ac:dyDescent="0.25">
      <c r="A448" s="412" t="s">
        <v>770</v>
      </c>
      <c r="B448" s="243" t="e">
        <f>'целевые показатели'!#REF!</f>
        <v>#REF!</v>
      </c>
      <c r="C448" s="273" t="e">
        <f>'целевые показатели'!#REF!</f>
        <v>#REF!</v>
      </c>
      <c r="D448" s="273">
        <v>0</v>
      </c>
      <c r="E448" s="273">
        <v>0</v>
      </c>
      <c r="F448" s="273" t="e">
        <f t="shared" ref="F448:F454" si="21">C448*0.99</f>
        <v>#REF!</v>
      </c>
      <c r="G448" s="274" t="e">
        <f t="shared" ref="G448:G454" si="22">C448-F448</f>
        <v>#REF!</v>
      </c>
    </row>
    <row r="449" spans="1:9" hidden="1" x14ac:dyDescent="0.25">
      <c r="A449" s="412" t="s">
        <v>771</v>
      </c>
      <c r="B449" s="243" t="str">
        <f>'целевые показатели'!B255</f>
        <v>ул.Сурена-Шаумяна</v>
      </c>
      <c r="C449" s="273">
        <f>'целевые показатели'!M255</f>
        <v>0</v>
      </c>
      <c r="D449" s="273">
        <v>0</v>
      </c>
      <c r="E449" s="273">
        <v>0</v>
      </c>
      <c r="F449" s="273">
        <f t="shared" si="21"/>
        <v>0</v>
      </c>
      <c r="G449" s="274">
        <f t="shared" si="22"/>
        <v>0</v>
      </c>
      <c r="I449" s="208" t="s">
        <v>754</v>
      </c>
    </row>
    <row r="450" spans="1:9" hidden="1" x14ac:dyDescent="0.25">
      <c r="A450" s="412" t="s">
        <v>772</v>
      </c>
      <c r="B450" s="243" t="str">
        <f>'целевые показатели'!B256</f>
        <v>ул.1-ая Посадская от ул.Комсомольская до Тургеневского моста</v>
      </c>
      <c r="C450" s="273">
        <f>'целевые показатели'!M256</f>
        <v>0</v>
      </c>
      <c r="D450" s="273">
        <v>0</v>
      </c>
      <c r="E450" s="273">
        <v>0</v>
      </c>
      <c r="F450" s="273">
        <f t="shared" si="21"/>
        <v>0</v>
      </c>
      <c r="G450" s="274">
        <f t="shared" si="22"/>
        <v>0</v>
      </c>
      <c r="I450" s="208" t="s">
        <v>426</v>
      </c>
    </row>
    <row r="451" spans="1:9" ht="31.5" hidden="1" x14ac:dyDescent="0.25">
      <c r="A451" s="412" t="s">
        <v>773</v>
      </c>
      <c r="B451" s="243" t="str">
        <f>'целевые показатели'!B377</f>
        <v>Капитальный ремонт улично-дорожной сети города Орла по пер.Почтовый от ул. Пролетарская Гора до д.16</v>
      </c>
      <c r="C451" s="273">
        <f>'целевые показатели'!M377</f>
        <v>0</v>
      </c>
      <c r="D451" s="273">
        <v>0</v>
      </c>
      <c r="E451" s="273">
        <v>0</v>
      </c>
      <c r="F451" s="273">
        <f t="shared" si="21"/>
        <v>0</v>
      </c>
      <c r="G451" s="274">
        <f t="shared" si="22"/>
        <v>0</v>
      </c>
      <c r="I451" s="208" t="s">
        <v>427</v>
      </c>
    </row>
    <row r="452" spans="1:9" ht="31.5" hidden="1" x14ac:dyDescent="0.25">
      <c r="A452" s="412" t="s">
        <v>774</v>
      </c>
      <c r="B452" s="243" t="str">
        <f>'целевые показатели'!B378</f>
        <v>Капитальный ремонт улично-дорожной сети города Орла по пер. Почтовый от д.6 до ул. Ленина</v>
      </c>
      <c r="C452" s="273">
        <f>'целевые показатели'!M378</f>
        <v>0</v>
      </c>
      <c r="D452" s="273">
        <v>0</v>
      </c>
      <c r="E452" s="273">
        <v>0</v>
      </c>
      <c r="F452" s="273">
        <f t="shared" si="21"/>
        <v>0</v>
      </c>
      <c r="G452" s="274">
        <f t="shared" si="22"/>
        <v>0</v>
      </c>
      <c r="I452" s="208" t="s">
        <v>299</v>
      </c>
    </row>
    <row r="453" spans="1:9" ht="31.5" hidden="1" x14ac:dyDescent="0.25">
      <c r="A453" s="412" t="s">
        <v>775</v>
      </c>
      <c r="B453" s="243" t="str">
        <f>'целевые показатели'!B379</f>
        <v>Капитальный ремонт улично-дорожной сети города Орла: ул.Карачевская, ул.Гостиная, ул.Пушкина</v>
      </c>
      <c r="C453" s="273">
        <f>'целевые показатели'!M379</f>
        <v>0</v>
      </c>
      <c r="D453" s="273">
        <v>0</v>
      </c>
      <c r="E453" s="273">
        <v>0</v>
      </c>
      <c r="F453" s="273">
        <f t="shared" si="21"/>
        <v>0</v>
      </c>
      <c r="G453" s="269">
        <f>26870.9149000002+2660220.5751-2687091.49</f>
        <v>0</v>
      </c>
      <c r="H453" s="270" t="s">
        <v>726</v>
      </c>
      <c r="I453" s="208" t="s">
        <v>300</v>
      </c>
    </row>
    <row r="454" spans="1:9" ht="47.25" hidden="1" x14ac:dyDescent="0.25">
      <c r="A454" s="412" t="s">
        <v>771</v>
      </c>
      <c r="B454" s="243" t="str">
        <f>'целевые показатели'!B388</f>
        <v>Капитальный ремонт улично-дорожной сети города Орла по ул.Колхозная (на участке от моста в створе ул.Колхозная до ул. Энгельса)</v>
      </c>
      <c r="C454" s="273">
        <v>86000</v>
      </c>
      <c r="D454" s="273">
        <v>0</v>
      </c>
      <c r="E454" s="273">
        <v>0</v>
      </c>
      <c r="F454" s="273">
        <f t="shared" si="21"/>
        <v>85140</v>
      </c>
      <c r="G454" s="274">
        <f t="shared" si="22"/>
        <v>860</v>
      </c>
    </row>
    <row r="455" spans="1:9" ht="47.25" hidden="1" x14ac:dyDescent="0.25">
      <c r="A455" s="412" t="s">
        <v>772</v>
      </c>
      <c r="B455" s="365" t="s">
        <v>793</v>
      </c>
      <c r="C455" s="121">
        <v>171900</v>
      </c>
      <c r="D455" s="273">
        <v>0</v>
      </c>
      <c r="E455" s="273">
        <v>0</v>
      </c>
      <c r="F455" s="273">
        <f>C455*0.99</f>
        <v>170181</v>
      </c>
      <c r="G455" s="273">
        <f>C455-F455</f>
        <v>1719</v>
      </c>
    </row>
    <row r="456" spans="1:9" ht="31.5" hidden="1" x14ac:dyDescent="0.25">
      <c r="A456" s="412" t="s">
        <v>773</v>
      </c>
      <c r="B456" s="365" t="s">
        <v>792</v>
      </c>
      <c r="C456" s="121">
        <v>101200</v>
      </c>
      <c r="D456" s="273">
        <v>0</v>
      </c>
      <c r="E456" s="273">
        <v>0</v>
      </c>
      <c r="F456" s="273">
        <f t="shared" ref="F456:F462" si="23">C456*0.99</f>
        <v>100188</v>
      </c>
      <c r="G456" s="273">
        <f t="shared" ref="G456:G462" si="24">C456-F456</f>
        <v>1012</v>
      </c>
    </row>
    <row r="457" spans="1:9" hidden="1" x14ac:dyDescent="0.25">
      <c r="A457" s="412" t="s">
        <v>774</v>
      </c>
      <c r="B457" s="365" t="s">
        <v>790</v>
      </c>
      <c r="C457" s="121">
        <v>191400</v>
      </c>
      <c r="D457" s="273">
        <v>0</v>
      </c>
      <c r="E457" s="273">
        <v>0</v>
      </c>
      <c r="F457" s="273">
        <f t="shared" si="23"/>
        <v>189486</v>
      </c>
      <c r="G457" s="273">
        <f t="shared" si="24"/>
        <v>1914</v>
      </c>
    </row>
    <row r="458" spans="1:9" ht="25.5" hidden="1" customHeight="1" x14ac:dyDescent="0.25">
      <c r="A458" s="412" t="s">
        <v>775</v>
      </c>
      <c r="B458" s="365" t="s">
        <v>786</v>
      </c>
      <c r="C458" s="121">
        <v>110000</v>
      </c>
      <c r="D458" s="273">
        <v>0</v>
      </c>
      <c r="E458" s="273">
        <v>0</v>
      </c>
      <c r="F458" s="273">
        <f t="shared" si="23"/>
        <v>108900</v>
      </c>
      <c r="G458" s="273">
        <f t="shared" si="24"/>
        <v>1100</v>
      </c>
    </row>
    <row r="459" spans="1:9" ht="31.5" hidden="1" x14ac:dyDescent="0.25">
      <c r="A459" s="412" t="s">
        <v>776</v>
      </c>
      <c r="B459" s="365" t="s">
        <v>787</v>
      </c>
      <c r="C459" s="121">
        <v>324500</v>
      </c>
      <c r="D459" s="273">
        <v>0</v>
      </c>
      <c r="E459" s="273">
        <v>0</v>
      </c>
      <c r="F459" s="273">
        <f t="shared" si="23"/>
        <v>321255</v>
      </c>
      <c r="G459" s="273">
        <f t="shared" si="24"/>
        <v>3245</v>
      </c>
    </row>
    <row r="460" spans="1:9" ht="31.5" hidden="1" x14ac:dyDescent="0.25">
      <c r="A460" s="412" t="s">
        <v>777</v>
      </c>
      <c r="B460" s="365" t="s">
        <v>788</v>
      </c>
      <c r="C460" s="121">
        <v>309100</v>
      </c>
      <c r="D460" s="273">
        <v>0</v>
      </c>
      <c r="E460" s="273">
        <v>0</v>
      </c>
      <c r="F460" s="273">
        <f t="shared" si="23"/>
        <v>306009</v>
      </c>
      <c r="G460" s="273">
        <f t="shared" si="24"/>
        <v>3091</v>
      </c>
    </row>
    <row r="461" spans="1:9" ht="31.5" hidden="1" x14ac:dyDescent="0.25">
      <c r="A461" s="412" t="s">
        <v>778</v>
      </c>
      <c r="B461" s="365" t="s">
        <v>789</v>
      </c>
      <c r="C461" s="121">
        <v>25000</v>
      </c>
      <c r="D461" s="273">
        <v>0</v>
      </c>
      <c r="E461" s="273">
        <v>0</v>
      </c>
      <c r="F461" s="273">
        <f t="shared" si="23"/>
        <v>24750</v>
      </c>
      <c r="G461" s="273">
        <f t="shared" si="24"/>
        <v>250</v>
      </c>
    </row>
    <row r="462" spans="1:9" ht="47.25" hidden="1" x14ac:dyDescent="0.25">
      <c r="A462" s="412" t="s">
        <v>779</v>
      </c>
      <c r="B462" s="365" t="s">
        <v>791</v>
      </c>
      <c r="C462" s="273">
        <v>160600</v>
      </c>
      <c r="D462" s="273">
        <v>0</v>
      </c>
      <c r="E462" s="273">
        <v>0</v>
      </c>
      <c r="F462" s="273">
        <f t="shared" si="23"/>
        <v>158994</v>
      </c>
      <c r="G462" s="273">
        <f t="shared" si="24"/>
        <v>1606</v>
      </c>
    </row>
    <row r="463" spans="1:9" ht="31.5" x14ac:dyDescent="0.25">
      <c r="A463" s="412" t="s">
        <v>770</v>
      </c>
      <c r="B463" s="243" t="str">
        <f>'целевые показатели'!B389</f>
        <v>разработка проектно-сметной документации и проведение проверки достоверности сметной стоимости</v>
      </c>
      <c r="C463" s="273">
        <v>3947</v>
      </c>
      <c r="D463" s="273">
        <v>0</v>
      </c>
      <c r="E463" s="273">
        <v>0</v>
      </c>
      <c r="F463" s="273">
        <v>0</v>
      </c>
      <c r="G463" s="273">
        <v>3947</v>
      </c>
      <c r="I463" s="208">
        <f>I447/99*100</f>
        <v>-1.0101087015084546E-7</v>
      </c>
    </row>
    <row r="464" spans="1:9" ht="15" customHeight="1" x14ac:dyDescent="0.25">
      <c r="A464" s="413"/>
      <c r="C464" s="414"/>
      <c r="D464" s="414"/>
      <c r="E464" s="414"/>
      <c r="F464" s="414"/>
      <c r="G464" s="414"/>
    </row>
    <row r="465" spans="1:7" hidden="1" x14ac:dyDescent="0.25">
      <c r="A465" s="413"/>
      <c r="B465" s="415"/>
      <c r="C465" s="414"/>
      <c r="D465" s="414"/>
      <c r="E465" s="414"/>
      <c r="F465" s="414"/>
      <c r="G465" s="414"/>
    </row>
    <row r="466" spans="1:7" hidden="1" x14ac:dyDescent="0.25">
      <c r="A466" s="413"/>
      <c r="B466" s="415"/>
      <c r="C466" s="414"/>
      <c r="D466" s="414"/>
      <c r="E466" s="414"/>
      <c r="F466" s="414"/>
      <c r="G466" s="414"/>
    </row>
    <row r="467" spans="1:7" hidden="1" x14ac:dyDescent="0.25">
      <c r="A467" s="413"/>
      <c r="B467" s="415"/>
      <c r="C467" s="414"/>
      <c r="D467" s="414"/>
      <c r="E467" s="414"/>
      <c r="F467" s="414"/>
      <c r="G467" s="414"/>
    </row>
    <row r="468" spans="1:7" hidden="1" x14ac:dyDescent="0.25">
      <c r="A468" s="413"/>
      <c r="B468" s="415"/>
      <c r="C468" s="414"/>
      <c r="D468" s="414"/>
      <c r="E468" s="414"/>
      <c r="F468" s="414"/>
      <c r="G468" s="414"/>
    </row>
    <row r="469" spans="1:7" hidden="1" x14ac:dyDescent="0.25">
      <c r="A469" s="413"/>
      <c r="B469" s="415"/>
      <c r="C469" s="414"/>
      <c r="D469" s="414"/>
      <c r="E469" s="414"/>
      <c r="F469" s="414"/>
      <c r="G469" s="414"/>
    </row>
    <row r="470" spans="1:7" hidden="1" x14ac:dyDescent="0.25">
      <c r="A470" s="413"/>
      <c r="B470" s="415"/>
      <c r="C470" s="414"/>
      <c r="D470" s="414"/>
      <c r="E470" s="414"/>
      <c r="F470" s="414"/>
      <c r="G470" s="414"/>
    </row>
    <row r="471" spans="1:7" hidden="1" x14ac:dyDescent="0.25">
      <c r="A471" s="413"/>
      <c r="B471" s="415"/>
      <c r="C471" s="414"/>
      <c r="D471" s="414"/>
      <c r="E471" s="414"/>
      <c r="F471" s="414"/>
      <c r="G471" s="414"/>
    </row>
    <row r="472" spans="1:7" hidden="1" x14ac:dyDescent="0.25">
      <c r="A472" s="413"/>
      <c r="B472" s="415"/>
      <c r="C472" s="414"/>
      <c r="D472" s="414"/>
      <c r="E472" s="414"/>
      <c r="F472" s="414"/>
      <c r="G472" s="414"/>
    </row>
    <row r="473" spans="1:7" hidden="1" x14ac:dyDescent="0.25">
      <c r="A473" s="413"/>
      <c r="B473" s="415"/>
      <c r="C473" s="414"/>
      <c r="D473" s="414"/>
      <c r="E473" s="414"/>
      <c r="F473" s="414"/>
      <c r="G473" s="414"/>
    </row>
    <row r="474" spans="1:7" hidden="1" x14ac:dyDescent="0.25">
      <c r="A474" s="413"/>
      <c r="B474" s="415"/>
      <c r="C474" s="414"/>
      <c r="D474" s="414"/>
      <c r="E474" s="414"/>
      <c r="F474" s="414"/>
      <c r="G474" s="414"/>
    </row>
    <row r="475" spans="1:7" hidden="1" x14ac:dyDescent="0.25">
      <c r="A475" s="413"/>
      <c r="B475" s="415"/>
      <c r="C475" s="414"/>
      <c r="D475" s="414"/>
      <c r="E475" s="414"/>
      <c r="F475" s="414"/>
      <c r="G475" s="414"/>
    </row>
    <row r="476" spans="1:7" hidden="1" x14ac:dyDescent="0.25">
      <c r="A476" s="413"/>
      <c r="B476" s="415"/>
      <c r="C476" s="414"/>
      <c r="D476" s="414"/>
      <c r="E476" s="414"/>
      <c r="F476" s="414"/>
      <c r="G476" s="414"/>
    </row>
    <row r="477" spans="1:7" hidden="1" x14ac:dyDescent="0.25">
      <c r="A477" s="413"/>
      <c r="B477" s="415"/>
      <c r="C477" s="414"/>
      <c r="D477" s="414"/>
      <c r="E477" s="414"/>
      <c r="F477" s="414"/>
      <c r="G477" s="414"/>
    </row>
    <row r="478" spans="1:7" hidden="1" x14ac:dyDescent="0.25">
      <c r="A478" s="413"/>
      <c r="B478" s="415"/>
      <c r="C478" s="414"/>
      <c r="D478" s="414"/>
      <c r="E478" s="414"/>
      <c r="F478" s="414"/>
      <c r="G478" s="414"/>
    </row>
    <row r="479" spans="1:7" hidden="1" x14ac:dyDescent="0.25">
      <c r="A479" s="413"/>
      <c r="B479" s="415"/>
      <c r="C479" s="414"/>
      <c r="D479" s="414"/>
      <c r="E479" s="414"/>
      <c r="F479" s="414"/>
      <c r="G479" s="414"/>
    </row>
    <row r="480" spans="1:7" hidden="1" x14ac:dyDescent="0.25"/>
    <row r="481" spans="2:5" hidden="1" x14ac:dyDescent="0.25"/>
    <row r="482" spans="2:5" ht="57.75" customHeight="1" x14ac:dyDescent="0.25">
      <c r="B482" s="755" t="s">
        <v>716</v>
      </c>
      <c r="C482" s="756"/>
      <c r="D482" s="203"/>
      <c r="E482" s="416" t="s">
        <v>128</v>
      </c>
    </row>
  </sheetData>
  <mergeCells count="23">
    <mergeCell ref="B482:C482"/>
    <mergeCell ref="A424:G424"/>
    <mergeCell ref="A333:G333"/>
    <mergeCell ref="K29:L29"/>
    <mergeCell ref="C2:G2"/>
    <mergeCell ref="A15:A16"/>
    <mergeCell ref="A134:G134"/>
    <mergeCell ref="A216:G216"/>
    <mergeCell ref="C1:G1"/>
    <mergeCell ref="G15:G16"/>
    <mergeCell ref="A13:G13"/>
    <mergeCell ref="A18:G18"/>
    <mergeCell ref="C3:G3"/>
    <mergeCell ref="D15:D16"/>
    <mergeCell ref="F15:F16"/>
    <mergeCell ref="A12:G12"/>
    <mergeCell ref="B15:B16"/>
    <mergeCell ref="C4:G4"/>
    <mergeCell ref="A11:G11"/>
    <mergeCell ref="C7:G7"/>
    <mergeCell ref="B8:G8"/>
    <mergeCell ref="C6:G6"/>
    <mergeCell ref="E15:E16"/>
  </mergeCells>
  <pageMargins left="0.70866141732283472" right="0.70866141732283472" top="0.74803149606299213" bottom="0.74803149606299213" header="0.31496062992125984" footer="0.31496062992125984"/>
  <pageSetup paperSize="9" scale="50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4"/>
  <sheetViews>
    <sheetView topLeftCell="A41" workbookViewId="0">
      <selection activeCell="M20" sqref="M20"/>
    </sheetView>
  </sheetViews>
  <sheetFormatPr defaultColWidth="9.140625" defaultRowHeight="15.75" outlineLevelRow="1" x14ac:dyDescent="0.25"/>
  <cols>
    <col min="1" max="1" width="6.7109375" style="417" customWidth="1"/>
    <col min="2" max="2" width="62.42578125" style="417" bestFit="1" customWidth="1"/>
    <col min="3" max="3" width="10.7109375" style="417" bestFit="1" customWidth="1"/>
    <col min="4" max="4" width="14.7109375" style="417" hidden="1" customWidth="1"/>
    <col min="5" max="9" width="14.7109375" style="417" customWidth="1"/>
    <col min="10" max="10" width="21.85546875" style="417" customWidth="1"/>
    <col min="11" max="11" width="14.140625" style="214" customWidth="1"/>
    <col min="12" max="12" width="13.7109375" style="214" customWidth="1"/>
    <col min="13" max="13" width="12.42578125" style="417" customWidth="1"/>
    <col min="14" max="14" width="14" style="417" customWidth="1"/>
    <col min="15" max="16" width="14.7109375" style="417" customWidth="1"/>
    <col min="17" max="16384" width="9.140625" style="417"/>
  </cols>
  <sheetData>
    <row r="1" spans="1:16" outlineLevel="1" x14ac:dyDescent="0.25">
      <c r="D1" s="743" t="s">
        <v>266</v>
      </c>
      <c r="E1" s="744"/>
      <c r="F1" s="744"/>
      <c r="G1" s="744"/>
      <c r="H1" s="418"/>
      <c r="I1" s="418"/>
      <c r="J1" s="418"/>
    </row>
    <row r="2" spans="1:16" outlineLevel="1" x14ac:dyDescent="0.25">
      <c r="D2" s="743" t="s">
        <v>135</v>
      </c>
      <c r="E2" s="744"/>
      <c r="F2" s="744"/>
      <c r="G2" s="744"/>
      <c r="H2" s="418"/>
      <c r="I2" s="418"/>
      <c r="J2" s="418"/>
    </row>
    <row r="3" spans="1:16" outlineLevel="1" x14ac:dyDescent="0.25">
      <c r="D3" s="743" t="s">
        <v>125</v>
      </c>
      <c r="E3" s="744"/>
      <c r="F3" s="744"/>
      <c r="G3" s="744"/>
      <c r="H3" s="418"/>
      <c r="I3" s="418"/>
      <c r="J3" s="418"/>
    </row>
    <row r="4" spans="1:16" outlineLevel="1" x14ac:dyDescent="0.25">
      <c r="D4" s="743" t="s">
        <v>434</v>
      </c>
      <c r="E4" s="744"/>
      <c r="F4" s="744"/>
      <c r="G4" s="744"/>
      <c r="H4" s="418"/>
      <c r="I4" s="418"/>
      <c r="J4" s="418"/>
    </row>
    <row r="5" spans="1:16" outlineLevel="1" x14ac:dyDescent="0.25">
      <c r="D5" s="214"/>
      <c r="E5" s="418"/>
      <c r="F5" s="418"/>
      <c r="G5" s="418"/>
      <c r="H5" s="418"/>
      <c r="I5" s="418"/>
      <c r="J5" s="418"/>
    </row>
    <row r="6" spans="1:16" outlineLevel="1" x14ac:dyDescent="0.25">
      <c r="D6" s="214"/>
      <c r="E6" s="418"/>
      <c r="F6" s="418"/>
      <c r="G6" s="418"/>
      <c r="H6" s="418"/>
      <c r="I6" s="418"/>
      <c r="J6" s="418"/>
    </row>
    <row r="7" spans="1:16" ht="19.5" customHeight="1" outlineLevel="1" x14ac:dyDescent="0.25">
      <c r="C7" s="714" t="s">
        <v>89</v>
      </c>
      <c r="D7" s="714"/>
      <c r="E7" s="714"/>
      <c r="F7" s="714"/>
      <c r="G7" s="714"/>
      <c r="H7" s="211"/>
      <c r="I7" s="211"/>
      <c r="J7" s="211"/>
    </row>
    <row r="8" spans="1:16" ht="19.5" customHeight="1" outlineLevel="1" x14ac:dyDescent="0.25">
      <c r="A8" s="419"/>
      <c r="C8" s="752" t="s">
        <v>145</v>
      </c>
      <c r="D8" s="714"/>
      <c r="E8" s="714"/>
      <c r="F8" s="714"/>
      <c r="G8" s="714"/>
      <c r="H8" s="764"/>
      <c r="I8" s="211"/>
      <c r="J8" s="211"/>
    </row>
    <row r="9" spans="1:16" ht="19.5" customHeight="1" outlineLevel="1" x14ac:dyDescent="0.25">
      <c r="A9" s="419"/>
      <c r="C9" s="752" t="s">
        <v>87</v>
      </c>
      <c r="D9" s="714"/>
      <c r="E9" s="714"/>
      <c r="F9" s="714"/>
      <c r="G9" s="714"/>
      <c r="H9" s="764"/>
      <c r="I9" s="211"/>
      <c r="J9" s="211"/>
    </row>
    <row r="10" spans="1:16" ht="19.5" customHeight="1" outlineLevel="1" x14ac:dyDescent="0.25">
      <c r="A10" s="419"/>
      <c r="C10" s="714"/>
      <c r="D10" s="714"/>
      <c r="E10" s="714"/>
      <c r="F10" s="714"/>
      <c r="G10" s="714"/>
      <c r="H10" s="211"/>
      <c r="I10" s="211"/>
      <c r="J10" s="211"/>
    </row>
    <row r="11" spans="1:16" x14ac:dyDescent="0.25">
      <c r="A11" s="2"/>
    </row>
    <row r="12" spans="1:16" ht="21" customHeight="1" x14ac:dyDescent="0.25">
      <c r="A12" s="743"/>
      <c r="B12" s="743"/>
      <c r="C12" s="743"/>
      <c r="D12" s="743"/>
      <c r="E12" s="743"/>
      <c r="F12" s="743"/>
      <c r="G12" s="743"/>
      <c r="H12" s="214"/>
      <c r="I12" s="214"/>
      <c r="J12" s="214"/>
    </row>
    <row r="13" spans="1:16" ht="21" customHeight="1" x14ac:dyDescent="0.25">
      <c r="A13" s="714" t="s">
        <v>98</v>
      </c>
      <c r="B13" s="714"/>
      <c r="C13" s="714"/>
      <c r="D13" s="714"/>
      <c r="E13" s="714"/>
      <c r="F13" s="714"/>
      <c r="G13" s="714"/>
      <c r="H13" s="211"/>
      <c r="I13" s="211"/>
      <c r="J13" s="211"/>
      <c r="O13" s="417">
        <f>79132+59760</f>
        <v>138892</v>
      </c>
    </row>
    <row r="14" spans="1:16" x14ac:dyDescent="0.25">
      <c r="A14" s="214"/>
    </row>
    <row r="15" spans="1:16" ht="18" customHeight="1" x14ac:dyDescent="0.25">
      <c r="A15" s="765" t="s">
        <v>90</v>
      </c>
      <c r="B15" s="765" t="s">
        <v>91</v>
      </c>
      <c r="C15" s="765" t="s">
        <v>92</v>
      </c>
      <c r="D15" s="765" t="s">
        <v>93</v>
      </c>
      <c r="E15" s="766"/>
      <c r="F15" s="766"/>
      <c r="G15" s="766"/>
      <c r="H15" s="767"/>
      <c r="I15" s="767"/>
      <c r="J15" s="245"/>
      <c r="M15" s="214"/>
      <c r="N15" s="214"/>
      <c r="O15" s="214"/>
      <c r="P15" s="214"/>
    </row>
    <row r="16" spans="1:16" ht="42" customHeight="1" x14ac:dyDescent="0.25">
      <c r="A16" s="765"/>
      <c r="B16" s="765"/>
      <c r="C16" s="765"/>
      <c r="D16" s="420" t="s">
        <v>112</v>
      </c>
      <c r="E16" s="420" t="s">
        <v>6</v>
      </c>
      <c r="F16" s="420" t="s">
        <v>18</v>
      </c>
      <c r="G16" s="420" t="s">
        <v>19</v>
      </c>
      <c r="H16" s="420" t="s">
        <v>20</v>
      </c>
      <c r="I16" s="420" t="s">
        <v>21</v>
      </c>
      <c r="J16" s="421"/>
      <c r="L16" s="422"/>
    </row>
    <row r="17" spans="1:16" ht="18.75" x14ac:dyDescent="0.25">
      <c r="A17" s="420">
        <v>1</v>
      </c>
      <c r="B17" s="420">
        <v>2</v>
      </c>
      <c r="C17" s="420">
        <v>3</v>
      </c>
      <c r="D17" s="420">
        <v>4</v>
      </c>
      <c r="E17" s="420">
        <v>5</v>
      </c>
      <c r="F17" s="420">
        <v>6</v>
      </c>
      <c r="G17" s="420">
        <v>7</v>
      </c>
      <c r="H17" s="420">
        <v>8</v>
      </c>
      <c r="I17" s="420">
        <v>9</v>
      </c>
      <c r="J17" s="421"/>
      <c r="L17" s="423"/>
      <c r="M17" s="423"/>
      <c r="N17" s="423"/>
      <c r="O17" s="423"/>
      <c r="P17" s="423"/>
    </row>
    <row r="18" spans="1:16" ht="37.5" x14ac:dyDescent="0.3">
      <c r="A18" s="424">
        <v>1</v>
      </c>
      <c r="B18" s="425" t="s">
        <v>142</v>
      </c>
      <c r="C18" s="426" t="s">
        <v>94</v>
      </c>
      <c r="D18" s="427">
        <v>336584</v>
      </c>
      <c r="E18" s="427">
        <f>SUM('целевые показатели'!F44:F55,'целевые показатели'!F140:F142)</f>
        <v>169644.1</v>
      </c>
      <c r="F18" s="427">
        <f>SUM('целевые показатели'!F119,'целевые показатели'!F143:F145,'целевые показатели'!F153:F154,'целевые показатели'!F243:F249,'целевые показатели'!F257:F262)</f>
        <v>220540</v>
      </c>
      <c r="G18" s="427">
        <f>SUM('целевые показатели'!F146:F148,'целевые показатели'!F250:F251,'целевые показатели'!F263:F318,'целевые показатели'!F60:F152)</f>
        <v>852050.65</v>
      </c>
      <c r="H18" s="427">
        <f>SUM('целевые показатели'!F319:F376,'целевые показатели'!F156:F156,'целевые показатели'!F253)</f>
        <v>186426</v>
      </c>
      <c r="I18" s="427">
        <f>SUM('целевые показатели'!F155,'целевые показатели'!F254:F256,'целевые показатели'!F377:F388)</f>
        <v>142252.4</v>
      </c>
      <c r="J18" s="428">
        <f>SUM(E18:I18)</f>
        <v>1570913.15</v>
      </c>
      <c r="K18" s="429">
        <f>'целевые показатели'!F42+'целевые показатели'!F138+'целевые показатели'!F240</f>
        <v>1022915.36</v>
      </c>
      <c r="L18" s="429">
        <f>J18-K18</f>
        <v>547997.78999999992</v>
      </c>
      <c r="M18" s="430"/>
      <c r="N18" s="430"/>
      <c r="O18" s="430"/>
      <c r="P18" s="430"/>
    </row>
    <row r="19" spans="1:16" ht="37.5" x14ac:dyDescent="0.3">
      <c r="A19" s="424">
        <v>2</v>
      </c>
      <c r="B19" s="425" t="s">
        <v>137</v>
      </c>
      <c r="C19" s="426" t="s">
        <v>94</v>
      </c>
      <c r="D19" s="427">
        <v>80000</v>
      </c>
      <c r="E19" s="427">
        <v>40000</v>
      </c>
      <c r="F19" s="427">
        <v>40000</v>
      </c>
      <c r="G19" s="427">
        <v>40000</v>
      </c>
      <c r="H19" s="427">
        <v>40000</v>
      </c>
      <c r="I19" s="427">
        <v>40000</v>
      </c>
      <c r="J19" s="431"/>
      <c r="K19" s="430"/>
      <c r="M19" s="214"/>
      <c r="N19" s="214"/>
      <c r="O19" s="432"/>
      <c r="P19" s="422"/>
    </row>
    <row r="20" spans="1:16" ht="115.5" customHeight="1" x14ac:dyDescent="0.3">
      <c r="A20" s="424">
        <v>3</v>
      </c>
      <c r="B20" s="425" t="s">
        <v>143</v>
      </c>
      <c r="C20" s="426" t="s">
        <v>105</v>
      </c>
      <c r="D20" s="433">
        <f>SUM(C38:C39)</f>
        <v>28.045999999999999</v>
      </c>
      <c r="E20" s="433">
        <f>SUM('целевые показатели'!G45:G55,'целевые показатели'!G140:G142)</f>
        <v>14.6</v>
      </c>
      <c r="F20" s="434">
        <f>SUM('целевые показатели'!G119,'целевые показатели'!G143:G145,'целевые показатели'!G153:G154,'целевые показатели'!G243:G249,'целевые показатели'!G257:G262)</f>
        <v>24.007999999999999</v>
      </c>
      <c r="G20" s="433">
        <f>SUM('целевые показатели'!G146:G148,'целевые показатели'!G250:G251,'целевые показатели'!G263:G318,'целевые показатели'!G60:G152)</f>
        <v>62.435700000000018</v>
      </c>
      <c r="H20" s="433">
        <f>SUM('целевые показатели'!G156:G156,'целевые показатели'!G319:G376)</f>
        <v>35.583999999999996</v>
      </c>
      <c r="I20" s="433">
        <f>SUM('целевые показатели'!G377:G388,'целевые показатели'!G254:G256,'целевые показатели'!G155)</f>
        <v>11.244400000000001</v>
      </c>
      <c r="J20" s="435">
        <f>SUM(E20:I20)</f>
        <v>147.87210000000002</v>
      </c>
      <c r="K20" s="214">
        <f>'целевые показатели'!F43+'целевые показатели'!F139+'целевые показатели'!F241</f>
        <v>133.44710000000009</v>
      </c>
      <c r="L20" s="436">
        <f>SUM(E20:I20)</f>
        <v>147.87210000000002</v>
      </c>
      <c r="M20" s="437">
        <f>(L20+L21)/461.3</f>
        <v>0.32055517017125518</v>
      </c>
      <c r="N20" s="2" t="s">
        <v>275</v>
      </c>
    </row>
    <row r="21" spans="1:16" ht="62.25" customHeight="1" x14ac:dyDescent="0.3">
      <c r="A21" s="424">
        <v>4</v>
      </c>
      <c r="B21" s="425" t="s">
        <v>97</v>
      </c>
      <c r="C21" s="426" t="s">
        <v>96</v>
      </c>
      <c r="D21" s="426">
        <v>18</v>
      </c>
      <c r="E21" s="426">
        <v>200</v>
      </c>
      <c r="F21" s="426">
        <v>0</v>
      </c>
      <c r="G21" s="426">
        <v>0</v>
      </c>
      <c r="H21" s="426">
        <v>0</v>
      </c>
      <c r="I21" s="427">
        <v>0</v>
      </c>
      <c r="J21" s="431"/>
      <c r="K21" s="422"/>
      <c r="L21" s="432"/>
      <c r="M21" s="438"/>
    </row>
    <row r="22" spans="1:16" ht="75" hidden="1" outlineLevel="1" x14ac:dyDescent="0.3">
      <c r="A22" s="424">
        <v>5</v>
      </c>
      <c r="B22" s="425" t="s">
        <v>106</v>
      </c>
      <c r="C22" s="426" t="s">
        <v>105</v>
      </c>
      <c r="D22" s="426"/>
      <c r="E22" s="426"/>
      <c r="F22" s="439"/>
      <c r="G22" s="426"/>
      <c r="H22" s="211"/>
      <c r="I22" s="211"/>
      <c r="J22" s="211"/>
    </row>
    <row r="23" spans="1:16" collapsed="1" x14ac:dyDescent="0.25"/>
    <row r="24" spans="1:16" x14ac:dyDescent="0.25">
      <c r="G24" s="440"/>
    </row>
    <row r="25" spans="1:16" s="441" customFormat="1" ht="21" x14ac:dyDescent="0.35">
      <c r="A25" s="441" t="s">
        <v>630</v>
      </c>
      <c r="D25" s="442"/>
      <c r="E25" s="442"/>
      <c r="F25" s="442"/>
      <c r="K25" s="196"/>
      <c r="L25" s="196"/>
    </row>
    <row r="26" spans="1:16" s="441" customFormat="1" ht="20.25" x14ac:dyDescent="0.3">
      <c r="A26" s="441" t="s">
        <v>127</v>
      </c>
      <c r="E26" s="768"/>
      <c r="F26" s="768"/>
      <c r="K26" s="196"/>
      <c r="L26" s="196"/>
    </row>
    <row r="27" spans="1:16" s="441" customFormat="1" ht="20.25" x14ac:dyDescent="0.3">
      <c r="A27" s="441" t="s">
        <v>125</v>
      </c>
      <c r="E27" s="768"/>
      <c r="F27" s="768"/>
      <c r="G27" s="761" t="s">
        <v>128</v>
      </c>
      <c r="H27" s="761"/>
      <c r="I27" s="762"/>
      <c r="J27" s="443"/>
      <c r="K27" s="196"/>
      <c r="L27" s="196"/>
    </row>
    <row r="28" spans="1:16" ht="18.75" x14ac:dyDescent="0.3">
      <c r="A28" s="444"/>
      <c r="B28" s="444"/>
      <c r="C28" s="444"/>
      <c r="D28" s="445"/>
      <c r="E28" s="763"/>
      <c r="F28" s="763"/>
    </row>
    <row r="29" spans="1:16" ht="18.75" x14ac:dyDescent="0.3">
      <c r="A29" s="444"/>
      <c r="B29" s="444"/>
      <c r="C29" s="444"/>
      <c r="D29" s="445"/>
      <c r="E29" s="446"/>
      <c r="F29" s="446"/>
    </row>
    <row r="31" spans="1:16" x14ac:dyDescent="0.25">
      <c r="B31" s="417" t="s">
        <v>113</v>
      </c>
    </row>
    <row r="33" spans="2:13" x14ac:dyDescent="0.25">
      <c r="B33" s="417" t="s">
        <v>117</v>
      </c>
    </row>
    <row r="35" spans="2:13" x14ac:dyDescent="0.25">
      <c r="B35" s="447" t="s">
        <v>115</v>
      </c>
    </row>
    <row r="36" spans="2:13" x14ac:dyDescent="0.25">
      <c r="B36" s="417" t="s">
        <v>116</v>
      </c>
    </row>
    <row r="37" spans="2:13" x14ac:dyDescent="0.25">
      <c r="B37" s="448" t="s">
        <v>122</v>
      </c>
      <c r="C37" s="449">
        <v>86.367999999999995</v>
      </c>
    </row>
    <row r="38" spans="2:13" x14ac:dyDescent="0.25">
      <c r="B38" s="448" t="s">
        <v>120</v>
      </c>
      <c r="C38" s="449">
        <v>11.249000000000001</v>
      </c>
    </row>
    <row r="39" spans="2:13" x14ac:dyDescent="0.25">
      <c r="B39" s="448" t="s">
        <v>121</v>
      </c>
      <c r="C39" s="449">
        <v>16.797000000000001</v>
      </c>
      <c r="D39" s="449">
        <f>C37+C38+C39</f>
        <v>114.414</v>
      </c>
    </row>
    <row r="41" spans="2:13" x14ac:dyDescent="0.25">
      <c r="B41" s="448" t="s">
        <v>123</v>
      </c>
      <c r="C41" s="449">
        <f>'прил.4 файл не рабочий'!F14</f>
        <v>4.7299999999999995</v>
      </c>
    </row>
    <row r="42" spans="2:13" x14ac:dyDescent="0.25">
      <c r="B42" s="448" t="s">
        <v>124</v>
      </c>
      <c r="C42" s="449">
        <f>'прил.4 файл не рабочий'!G14</f>
        <v>4.8950000000000005</v>
      </c>
      <c r="D42" s="449">
        <f>D39+C41+C42</f>
        <v>124.039</v>
      </c>
      <c r="E42" s="449" t="s">
        <v>118</v>
      </c>
    </row>
    <row r="43" spans="2:13" x14ac:dyDescent="0.25">
      <c r="C43" s="450">
        <f>(C41+C42)/461.3</f>
        <v>2.0864946889226101E-2</v>
      </c>
      <c r="D43" s="417" t="s">
        <v>119</v>
      </c>
    </row>
    <row r="45" spans="2:13" x14ac:dyDescent="0.25">
      <c r="C45" s="417">
        <f>461.3-114.414</f>
        <v>346.88600000000002</v>
      </c>
      <c r="D45" s="417" t="s">
        <v>241</v>
      </c>
      <c r="L45" s="214">
        <v>2021</v>
      </c>
      <c r="M45" s="451">
        <f>(474-C45)/474</f>
        <v>0.26817299578059067</v>
      </c>
    </row>
    <row r="46" spans="2:13" x14ac:dyDescent="0.25">
      <c r="C46" s="417">
        <f>C45-C41-C42</f>
        <v>337.26100000000002</v>
      </c>
      <c r="D46" s="417" t="s">
        <v>240</v>
      </c>
      <c r="L46" s="214">
        <v>2022</v>
      </c>
      <c r="M46" s="451">
        <f>(474-C46)/474</f>
        <v>0.28847890295358647</v>
      </c>
    </row>
    <row r="47" spans="2:13" x14ac:dyDescent="0.25">
      <c r="C47" s="417">
        <f>C46-C50-C51</f>
        <v>331.601</v>
      </c>
      <c r="D47" s="417" t="s">
        <v>242</v>
      </c>
      <c r="L47" s="214">
        <v>2023</v>
      </c>
      <c r="M47" s="451">
        <f>(474-C47)/474</f>
        <v>0.3004198312236287</v>
      </c>
    </row>
    <row r="48" spans="2:13" x14ac:dyDescent="0.25">
      <c r="C48" s="417" t="e">
        <f>C47-C53-C54</f>
        <v>#REF!</v>
      </c>
      <c r="D48" s="417" t="s">
        <v>243</v>
      </c>
      <c r="L48" s="214">
        <v>2024</v>
      </c>
      <c r="M48" s="451" t="e">
        <f>(474-C48)/474</f>
        <v>#REF!</v>
      </c>
    </row>
    <row r="50" spans="2:3" x14ac:dyDescent="0.25">
      <c r="B50" s="448" t="s">
        <v>236</v>
      </c>
      <c r="C50" s="417">
        <f>SUM('целевые показатели'!G119:G120)</f>
        <v>1.72</v>
      </c>
    </row>
    <row r="51" spans="2:3" x14ac:dyDescent="0.25">
      <c r="B51" s="448" t="s">
        <v>237</v>
      </c>
      <c r="C51" s="417">
        <f>SUM('целевые показатели'!G143:G144)</f>
        <v>3.9400000000000004</v>
      </c>
    </row>
    <row r="53" spans="2:3" x14ac:dyDescent="0.25">
      <c r="B53" s="448" t="s">
        <v>238</v>
      </c>
      <c r="C53" s="417" t="e">
        <f>SUM('целевые показатели'!#REF!)</f>
        <v>#REF!</v>
      </c>
    </row>
    <row r="54" spans="2:3" x14ac:dyDescent="0.25">
      <c r="B54" s="448" t="s">
        <v>239</v>
      </c>
      <c r="C54" s="417">
        <f>SUM('целевые показатели'!G145:G155)</f>
        <v>12.015000000000001</v>
      </c>
    </row>
  </sheetData>
  <mergeCells count="18">
    <mergeCell ref="D1:G1"/>
    <mergeCell ref="D2:G2"/>
    <mergeCell ref="D3:G3"/>
    <mergeCell ref="D4:G4"/>
    <mergeCell ref="E26:F26"/>
    <mergeCell ref="C7:G7"/>
    <mergeCell ref="G27:I27"/>
    <mergeCell ref="E28:F28"/>
    <mergeCell ref="C8:H8"/>
    <mergeCell ref="C15:C16"/>
    <mergeCell ref="A12:G12"/>
    <mergeCell ref="C10:G10"/>
    <mergeCell ref="A13:G13"/>
    <mergeCell ref="B15:B16"/>
    <mergeCell ref="D15:I15"/>
    <mergeCell ref="E27:F27"/>
    <mergeCell ref="C9:H9"/>
    <mergeCell ref="A15:A16"/>
  </mergeCells>
  <pageMargins left="0.70866141732283472" right="0.70866141732283472" top="0.74803149606299213" bottom="0.74803149606299213" header="0.31496062992125984" footer="0.31496062992125984"/>
  <pageSetup paperSize="9" scale="56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H15"/>
  <sheetViews>
    <sheetView topLeftCell="A16" workbookViewId="0">
      <selection activeCell="B14" sqref="B14"/>
    </sheetView>
  </sheetViews>
  <sheetFormatPr defaultColWidth="9.140625" defaultRowHeight="15.75" x14ac:dyDescent="0.25"/>
  <cols>
    <col min="1" max="1" width="9.140625" style="452"/>
    <col min="2" max="2" width="83.7109375" style="453" customWidth="1"/>
    <col min="3" max="4" width="16.7109375" style="452" customWidth="1"/>
    <col min="5" max="5" width="19.85546875" style="452" customWidth="1"/>
    <col min="6" max="8" width="9.140625" style="452"/>
    <col min="9" max="16384" width="9.140625" style="453"/>
  </cols>
  <sheetData>
    <row r="5" spans="1:5" ht="22.5" customHeight="1" x14ac:dyDescent="0.25">
      <c r="B5" s="752" t="s">
        <v>521</v>
      </c>
      <c r="C5" s="771"/>
      <c r="D5" s="771"/>
      <c r="E5" s="771"/>
    </row>
    <row r="6" spans="1:5" ht="22.5" customHeight="1" x14ac:dyDescent="0.25">
      <c r="B6" s="454"/>
      <c r="C6" s="245"/>
      <c r="D6" s="245"/>
      <c r="E6" s="245"/>
    </row>
    <row r="7" spans="1:5" x14ac:dyDescent="0.25">
      <c r="C7" s="452" t="s">
        <v>517</v>
      </c>
      <c r="D7" s="455" t="s">
        <v>516</v>
      </c>
      <c r="E7" s="455"/>
    </row>
    <row r="8" spans="1:5" ht="21" customHeight="1" x14ac:dyDescent="0.25">
      <c r="A8" s="456"/>
      <c r="B8" s="456" t="s">
        <v>379</v>
      </c>
      <c r="C8" s="456">
        <v>2023</v>
      </c>
      <c r="D8" s="456">
        <v>2024</v>
      </c>
      <c r="E8" s="456" t="s">
        <v>520</v>
      </c>
    </row>
    <row r="9" spans="1:5" ht="57" customHeight="1" x14ac:dyDescent="0.25">
      <c r="A9" s="456" t="s">
        <v>244</v>
      </c>
      <c r="B9" s="243" t="s">
        <v>148</v>
      </c>
      <c r="C9" s="457">
        <v>718642.9</v>
      </c>
      <c r="D9" s="457">
        <v>500000</v>
      </c>
      <c r="E9" s="456"/>
    </row>
    <row r="10" spans="1:5" ht="31.5" x14ac:dyDescent="0.25">
      <c r="A10" s="456" t="s">
        <v>245</v>
      </c>
      <c r="B10" s="243" t="s">
        <v>15</v>
      </c>
      <c r="C10" s="769">
        <v>369047.3</v>
      </c>
      <c r="D10" s="769">
        <v>349817.2</v>
      </c>
      <c r="E10" s="769"/>
    </row>
    <row r="11" spans="1:5" ht="31.5" x14ac:dyDescent="0.25">
      <c r="A11" s="456" t="s">
        <v>378</v>
      </c>
      <c r="B11" s="243" t="s">
        <v>294</v>
      </c>
      <c r="C11" s="770"/>
      <c r="D11" s="770"/>
      <c r="E11" s="770"/>
    </row>
    <row r="12" spans="1:5" ht="63" x14ac:dyDescent="0.25">
      <c r="A12" s="456" t="s">
        <v>246</v>
      </c>
      <c r="B12" s="243" t="s">
        <v>435</v>
      </c>
      <c r="C12" s="457">
        <v>286882.7</v>
      </c>
      <c r="D12" s="457">
        <v>0</v>
      </c>
      <c r="E12" s="456"/>
    </row>
    <row r="13" spans="1:5" ht="21" customHeight="1" x14ac:dyDescent="0.25">
      <c r="A13" s="456" t="s">
        <v>246</v>
      </c>
      <c r="B13" s="243" t="s">
        <v>518</v>
      </c>
      <c r="C13" s="457">
        <v>303516.31757999997</v>
      </c>
      <c r="D13" s="457">
        <v>0</v>
      </c>
      <c r="E13" s="456"/>
    </row>
    <row r="14" spans="1:5" ht="78.75" x14ac:dyDescent="0.25">
      <c r="A14" s="456" t="s">
        <v>248</v>
      </c>
      <c r="B14" s="243" t="s">
        <v>12</v>
      </c>
      <c r="C14" s="457">
        <v>149100</v>
      </c>
      <c r="D14" s="457">
        <v>0</v>
      </c>
      <c r="E14" s="456"/>
    </row>
    <row r="15" spans="1:5" ht="21" customHeight="1" x14ac:dyDescent="0.25">
      <c r="A15" s="456" t="s">
        <v>519</v>
      </c>
      <c r="B15" s="243" t="s">
        <v>138</v>
      </c>
      <c r="C15" s="457">
        <v>1423632.5</v>
      </c>
      <c r="D15" s="457">
        <v>395980</v>
      </c>
      <c r="E15" s="456"/>
    </row>
  </sheetData>
  <mergeCells count="4">
    <mergeCell ref="C10:C11"/>
    <mergeCell ref="D10:D11"/>
    <mergeCell ref="E10:E11"/>
    <mergeCell ref="B5:E5"/>
  </mergeCells>
  <pageMargins left="0.7" right="0.7" top="0.75" bottom="0.75" header="0.3" footer="0.3"/>
  <pageSetup paperSize="9" scale="89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X134"/>
  <sheetViews>
    <sheetView topLeftCell="A4" workbookViewId="0">
      <selection activeCell="E6" sqref="E6:E11"/>
    </sheetView>
  </sheetViews>
  <sheetFormatPr defaultColWidth="9.140625" defaultRowHeight="15" x14ac:dyDescent="0.25"/>
  <cols>
    <col min="1" max="1" width="9.140625" style="207"/>
    <col min="2" max="2" width="6.7109375" style="207" customWidth="1"/>
    <col min="3" max="3" width="64.7109375" style="207" customWidth="1"/>
    <col min="4" max="4" width="22" style="458" bestFit="1" customWidth="1"/>
    <col min="5" max="5" width="23.7109375" style="207" customWidth="1"/>
    <col min="6" max="6" width="16" style="207" bestFit="1" customWidth="1"/>
    <col min="7" max="7" width="11.42578125" style="207" bestFit="1" customWidth="1"/>
    <col min="8" max="16384" width="9.140625" style="207"/>
  </cols>
  <sheetData>
    <row r="2" spans="1:76" ht="28.5" customHeight="1" x14ac:dyDescent="0.25">
      <c r="B2" s="778" t="s">
        <v>708</v>
      </c>
      <c r="C2" s="778"/>
      <c r="D2" s="778"/>
      <c r="E2" s="778"/>
      <c r="F2" s="778"/>
    </row>
    <row r="4" spans="1:76" s="459" customFormat="1" ht="16.5" x14ac:dyDescent="0.25">
      <c r="A4" s="207"/>
      <c r="B4" s="779">
        <v>2023</v>
      </c>
      <c r="C4" s="780"/>
      <c r="D4" s="780"/>
      <c r="E4" s="780"/>
      <c r="F4" s="781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</row>
    <row r="5" spans="1:76" s="459" customFormat="1" ht="33" x14ac:dyDescent="0.25">
      <c r="A5" s="207"/>
      <c r="B5" s="460" t="s">
        <v>37</v>
      </c>
      <c r="C5" s="460" t="s">
        <v>467</v>
      </c>
      <c r="D5" s="461" t="s">
        <v>706</v>
      </c>
      <c r="E5" s="460" t="s">
        <v>707</v>
      </c>
      <c r="F5" s="462" t="s">
        <v>520</v>
      </c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</row>
    <row r="6" spans="1:76" s="459" customFormat="1" ht="33" customHeight="1" x14ac:dyDescent="0.25">
      <c r="A6" s="207"/>
      <c r="B6" s="463">
        <v>1</v>
      </c>
      <c r="C6" s="464" t="s">
        <v>622</v>
      </c>
      <c r="D6" s="465">
        <v>1200</v>
      </c>
      <c r="E6" s="466">
        <f t="shared" ref="E6:E11" si="0">D6*4.5/1000*1753718.9</f>
        <v>9470082.0600000005</v>
      </c>
      <c r="F6" s="46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7"/>
      <c r="BP6" s="207"/>
      <c r="BQ6" s="207"/>
      <c r="BR6" s="207"/>
      <c r="BS6" s="207"/>
      <c r="BT6" s="207"/>
      <c r="BU6" s="207"/>
      <c r="BV6" s="207"/>
      <c r="BW6" s="207"/>
      <c r="BX6" s="207"/>
    </row>
    <row r="7" spans="1:76" s="459" customFormat="1" ht="33" customHeight="1" x14ac:dyDescent="0.25">
      <c r="A7" s="207"/>
      <c r="B7" s="463">
        <v>2</v>
      </c>
      <c r="C7" s="464" t="s">
        <v>621</v>
      </c>
      <c r="D7" s="465">
        <v>1200</v>
      </c>
      <c r="E7" s="466">
        <f t="shared" si="0"/>
        <v>9470082.0600000005</v>
      </c>
      <c r="F7" s="46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7"/>
      <c r="BB7" s="207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7"/>
      <c r="BO7" s="207"/>
      <c r="BP7" s="207"/>
      <c r="BQ7" s="207"/>
      <c r="BR7" s="207"/>
      <c r="BS7" s="207"/>
      <c r="BT7" s="207"/>
      <c r="BU7" s="207"/>
      <c r="BV7" s="207"/>
      <c r="BW7" s="207"/>
      <c r="BX7" s="207"/>
    </row>
    <row r="8" spans="1:76" s="459" customFormat="1" ht="33" customHeight="1" x14ac:dyDescent="0.25">
      <c r="A8" s="207"/>
      <c r="B8" s="463">
        <v>3</v>
      </c>
      <c r="C8" s="464" t="s">
        <v>591</v>
      </c>
      <c r="D8" s="465">
        <v>1100</v>
      </c>
      <c r="E8" s="466">
        <f t="shared" si="0"/>
        <v>8680908.5549999997</v>
      </c>
      <c r="F8" s="46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</row>
    <row r="9" spans="1:76" s="459" customFormat="1" ht="33" customHeight="1" x14ac:dyDescent="0.25">
      <c r="A9" s="207"/>
      <c r="B9" s="463">
        <v>4</v>
      </c>
      <c r="C9" s="464" t="s">
        <v>709</v>
      </c>
      <c r="D9" s="465">
        <v>1100</v>
      </c>
      <c r="E9" s="466">
        <f t="shared" si="0"/>
        <v>8680908.5549999997</v>
      </c>
      <c r="F9" s="46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7"/>
      <c r="BO9" s="207"/>
      <c r="BP9" s="207"/>
      <c r="BQ9" s="207"/>
      <c r="BR9" s="207"/>
      <c r="BS9" s="207"/>
      <c r="BT9" s="207"/>
      <c r="BU9" s="207"/>
      <c r="BV9" s="207"/>
      <c r="BW9" s="207"/>
      <c r="BX9" s="207"/>
    </row>
    <row r="10" spans="1:76" s="459" customFormat="1" ht="33" customHeight="1" x14ac:dyDescent="0.25">
      <c r="A10" s="207"/>
      <c r="B10" s="463">
        <v>5</v>
      </c>
      <c r="C10" s="464" t="s">
        <v>710</v>
      </c>
      <c r="D10" s="465">
        <v>1300</v>
      </c>
      <c r="E10" s="466">
        <f t="shared" si="0"/>
        <v>10259255.564999999</v>
      </c>
      <c r="F10" s="46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7"/>
      <c r="BP10" s="207"/>
      <c r="BQ10" s="207"/>
      <c r="BR10" s="207"/>
      <c r="BS10" s="207"/>
      <c r="BT10" s="207"/>
      <c r="BU10" s="207"/>
      <c r="BV10" s="207"/>
      <c r="BW10" s="207"/>
      <c r="BX10" s="207"/>
    </row>
    <row r="11" spans="1:76" s="459" customFormat="1" ht="33" customHeight="1" x14ac:dyDescent="0.25">
      <c r="A11" s="207"/>
      <c r="B11" s="463">
        <v>6</v>
      </c>
      <c r="C11" s="464" t="s">
        <v>780</v>
      </c>
      <c r="D11" s="465">
        <v>846</v>
      </c>
      <c r="E11" s="468">
        <f t="shared" si="0"/>
        <v>6676407.8522999994</v>
      </c>
      <c r="F11" s="46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7"/>
      <c r="BP11" s="207"/>
      <c r="BQ11" s="207"/>
      <c r="BR11" s="207"/>
      <c r="BS11" s="207"/>
      <c r="BT11" s="207"/>
      <c r="BU11" s="207"/>
      <c r="BV11" s="207"/>
      <c r="BW11" s="207"/>
      <c r="BX11" s="207"/>
    </row>
    <row r="12" spans="1:76" s="469" customFormat="1" ht="16.5" x14ac:dyDescent="0.25">
      <c r="A12" s="470"/>
      <c r="B12" s="462"/>
      <c r="C12" s="460" t="s">
        <v>488</v>
      </c>
      <c r="D12" s="471">
        <f>SUM(D6:D11)</f>
        <v>6746</v>
      </c>
      <c r="E12" s="472">
        <f>SUM(E6:E11)</f>
        <v>53237644.647300005</v>
      </c>
      <c r="F12" s="462"/>
      <c r="G12" s="470"/>
      <c r="H12" s="470"/>
      <c r="I12" s="470"/>
      <c r="J12" s="470"/>
      <c r="K12" s="470"/>
      <c r="L12" s="470"/>
      <c r="M12" s="470"/>
      <c r="N12" s="470"/>
      <c r="O12" s="470"/>
      <c r="P12" s="470"/>
      <c r="Q12" s="470"/>
      <c r="R12" s="470"/>
      <c r="S12" s="470"/>
      <c r="T12" s="470"/>
      <c r="U12" s="470"/>
      <c r="V12" s="470"/>
      <c r="W12" s="470"/>
      <c r="X12" s="470"/>
      <c r="Y12" s="470"/>
      <c r="Z12" s="470"/>
      <c r="AA12" s="470"/>
      <c r="AB12" s="470"/>
      <c r="AC12" s="470"/>
      <c r="AD12" s="470"/>
      <c r="AE12" s="470"/>
      <c r="AF12" s="470"/>
      <c r="AG12" s="470"/>
      <c r="AH12" s="470"/>
      <c r="AI12" s="470"/>
      <c r="AJ12" s="470"/>
      <c r="AK12" s="470"/>
      <c r="AL12" s="470"/>
      <c r="AM12" s="470"/>
      <c r="AN12" s="470"/>
      <c r="AO12" s="470"/>
      <c r="AP12" s="470"/>
      <c r="AQ12" s="470"/>
      <c r="AR12" s="470"/>
      <c r="AS12" s="470"/>
      <c r="AT12" s="470"/>
      <c r="AU12" s="470"/>
      <c r="AV12" s="470"/>
      <c r="AW12" s="470"/>
      <c r="AX12" s="470"/>
      <c r="AY12" s="470"/>
      <c r="AZ12" s="470"/>
      <c r="BA12" s="470"/>
      <c r="BB12" s="470"/>
      <c r="BC12" s="470"/>
      <c r="BD12" s="470"/>
      <c r="BE12" s="470"/>
      <c r="BF12" s="470"/>
      <c r="BG12" s="470"/>
      <c r="BH12" s="470"/>
      <c r="BI12" s="470"/>
      <c r="BJ12" s="470"/>
      <c r="BK12" s="470"/>
      <c r="BL12" s="470"/>
      <c r="BM12" s="470"/>
      <c r="BN12" s="470"/>
      <c r="BO12" s="470"/>
      <c r="BP12" s="470"/>
      <c r="BQ12" s="470"/>
      <c r="BR12" s="470"/>
      <c r="BS12" s="470"/>
      <c r="BT12" s="470"/>
      <c r="BU12" s="470"/>
      <c r="BV12" s="470"/>
      <c r="BW12" s="470"/>
      <c r="BX12" s="470"/>
    </row>
    <row r="13" spans="1:76" s="473" customFormat="1" ht="16.5" x14ac:dyDescent="0.25">
      <c r="A13" s="207"/>
      <c r="B13" s="772">
        <v>2024</v>
      </c>
      <c r="C13" s="773"/>
      <c r="D13" s="773"/>
      <c r="E13" s="773"/>
      <c r="F13" s="774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7"/>
      <c r="BU13" s="207"/>
      <c r="BV13" s="207"/>
      <c r="BW13" s="207"/>
      <c r="BX13" s="207"/>
    </row>
    <row r="14" spans="1:76" s="473" customFormat="1" ht="33" x14ac:dyDescent="0.25">
      <c r="A14" s="207"/>
      <c r="B14" s="474">
        <v>7</v>
      </c>
      <c r="C14" s="475" t="s">
        <v>589</v>
      </c>
      <c r="D14" s="476">
        <v>2000</v>
      </c>
      <c r="E14" s="477">
        <f t="shared" ref="E14:E22" si="1">D14*4.5/1000*1753718.9</f>
        <v>15783470.1</v>
      </c>
      <c r="F14" s="478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207"/>
      <c r="BO14" s="207"/>
      <c r="BP14" s="207"/>
      <c r="BQ14" s="207"/>
      <c r="BR14" s="207"/>
      <c r="BS14" s="207"/>
      <c r="BT14" s="207"/>
      <c r="BU14" s="207"/>
      <c r="BV14" s="207"/>
      <c r="BW14" s="207"/>
      <c r="BX14" s="207"/>
    </row>
    <row r="15" spans="1:76" s="473" customFormat="1" ht="33" x14ac:dyDescent="0.25">
      <c r="A15" s="207"/>
      <c r="B15" s="474">
        <v>8</v>
      </c>
      <c r="C15" s="475" t="s">
        <v>588</v>
      </c>
      <c r="D15" s="476">
        <v>1800</v>
      </c>
      <c r="E15" s="477">
        <f t="shared" si="1"/>
        <v>14205123.089999998</v>
      </c>
      <c r="F15" s="478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7"/>
      <c r="BU15" s="207"/>
      <c r="BV15" s="207"/>
      <c r="BW15" s="207"/>
      <c r="BX15" s="207"/>
    </row>
    <row r="16" spans="1:76" s="473" customFormat="1" ht="33" customHeight="1" x14ac:dyDescent="0.25">
      <c r="A16" s="207"/>
      <c r="B16" s="474">
        <v>9</v>
      </c>
      <c r="C16" s="475" t="s">
        <v>579</v>
      </c>
      <c r="D16" s="476">
        <v>735</v>
      </c>
      <c r="E16" s="477">
        <f t="shared" si="1"/>
        <v>5800425.2617499996</v>
      </c>
      <c r="F16" s="478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07"/>
      <c r="BW16" s="207"/>
      <c r="BX16" s="207"/>
    </row>
    <row r="17" spans="1:76" s="473" customFormat="1" ht="33" x14ac:dyDescent="0.25">
      <c r="A17" s="207"/>
      <c r="B17" s="474">
        <v>10</v>
      </c>
      <c r="C17" s="475" t="s">
        <v>580</v>
      </c>
      <c r="D17" s="476">
        <v>334</v>
      </c>
      <c r="E17" s="477">
        <f t="shared" si="1"/>
        <v>2635839.5066999998</v>
      </c>
      <c r="F17" s="478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7"/>
      <c r="BX17" s="207"/>
    </row>
    <row r="18" spans="1:76" s="473" customFormat="1" ht="33" x14ac:dyDescent="0.25">
      <c r="A18" s="207"/>
      <c r="B18" s="474">
        <v>11</v>
      </c>
      <c r="C18" s="475" t="s">
        <v>582</v>
      </c>
      <c r="D18" s="476">
        <v>1100</v>
      </c>
      <c r="E18" s="477">
        <f t="shared" si="1"/>
        <v>8680908.5549999997</v>
      </c>
      <c r="F18" s="478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7"/>
      <c r="BU18" s="207"/>
      <c r="BV18" s="207"/>
      <c r="BW18" s="207"/>
      <c r="BX18" s="207"/>
    </row>
    <row r="19" spans="1:76" s="473" customFormat="1" ht="33" x14ac:dyDescent="0.25">
      <c r="A19" s="207"/>
      <c r="B19" s="474">
        <v>12</v>
      </c>
      <c r="C19" s="475" t="s">
        <v>584</v>
      </c>
      <c r="D19" s="476">
        <v>898</v>
      </c>
      <c r="E19" s="477">
        <f t="shared" si="1"/>
        <v>7086778.0749000004</v>
      </c>
      <c r="F19" s="478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</row>
    <row r="20" spans="1:76" s="473" customFormat="1" ht="33" x14ac:dyDescent="0.25">
      <c r="A20" s="207"/>
      <c r="B20" s="474">
        <v>13</v>
      </c>
      <c r="C20" s="475" t="s">
        <v>586</v>
      </c>
      <c r="D20" s="476">
        <v>1600</v>
      </c>
      <c r="E20" s="477">
        <f>D20*4.5/1000*1753718.9</f>
        <v>12626776.08</v>
      </c>
      <c r="F20" s="478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7"/>
      <c r="BX20" s="207"/>
    </row>
    <row r="21" spans="1:76" s="473" customFormat="1" ht="33" x14ac:dyDescent="0.25">
      <c r="A21" s="207"/>
      <c r="B21" s="474">
        <v>14</v>
      </c>
      <c r="C21" s="475" t="s">
        <v>587</v>
      </c>
      <c r="D21" s="476">
        <v>1200</v>
      </c>
      <c r="E21" s="477">
        <f t="shared" si="1"/>
        <v>9470082.0600000005</v>
      </c>
      <c r="F21" s="478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7"/>
      <c r="BO21" s="207"/>
      <c r="BP21" s="207"/>
      <c r="BQ21" s="207"/>
      <c r="BR21" s="207"/>
      <c r="BS21" s="207"/>
      <c r="BT21" s="207"/>
      <c r="BU21" s="207"/>
      <c r="BV21" s="207"/>
      <c r="BW21" s="207"/>
      <c r="BX21" s="207"/>
    </row>
    <row r="22" spans="1:76" s="473" customFormat="1" ht="33" x14ac:dyDescent="0.25">
      <c r="A22" s="207"/>
      <c r="B22" s="474">
        <v>15</v>
      </c>
      <c r="C22" s="475" t="s">
        <v>593</v>
      </c>
      <c r="D22" s="476">
        <v>413</v>
      </c>
      <c r="E22" s="479">
        <f t="shared" si="1"/>
        <v>3259286.57565</v>
      </c>
      <c r="F22" s="478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  <c r="BI22" s="207"/>
      <c r="BJ22" s="207"/>
      <c r="BK22" s="207"/>
      <c r="BL22" s="207"/>
      <c r="BM22" s="207"/>
      <c r="BN22" s="207"/>
      <c r="BO22" s="207"/>
      <c r="BP22" s="207"/>
      <c r="BQ22" s="207"/>
      <c r="BR22" s="207"/>
      <c r="BS22" s="207"/>
      <c r="BT22" s="207"/>
      <c r="BU22" s="207"/>
      <c r="BV22" s="207"/>
      <c r="BW22" s="207"/>
      <c r="BX22" s="207"/>
    </row>
    <row r="23" spans="1:76" s="473" customFormat="1" ht="33" x14ac:dyDescent="0.25">
      <c r="A23" s="207"/>
      <c r="B23" s="474">
        <v>16</v>
      </c>
      <c r="C23" s="475" t="s">
        <v>798</v>
      </c>
      <c r="D23" s="476">
        <v>491</v>
      </c>
      <c r="E23" s="479">
        <f>D23*4.5/1000*1753718.9</f>
        <v>3874841.9095499995</v>
      </c>
      <c r="F23" s="478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  <c r="BI23" s="207"/>
      <c r="BJ23" s="207"/>
      <c r="BK23" s="207"/>
      <c r="BL23" s="207"/>
      <c r="BM23" s="207"/>
      <c r="BN23" s="207"/>
      <c r="BO23" s="207"/>
      <c r="BP23" s="207"/>
      <c r="BQ23" s="207"/>
      <c r="BR23" s="207"/>
      <c r="BS23" s="207"/>
      <c r="BT23" s="207"/>
      <c r="BU23" s="207"/>
      <c r="BV23" s="207"/>
      <c r="BW23" s="207"/>
      <c r="BX23" s="207"/>
    </row>
    <row r="24" spans="1:76" s="473" customFormat="1" ht="33" x14ac:dyDescent="0.25">
      <c r="A24" s="207"/>
      <c r="B24" s="474">
        <v>17</v>
      </c>
      <c r="C24" s="480" t="s">
        <v>711</v>
      </c>
      <c r="D24" s="476">
        <v>724</v>
      </c>
      <c r="E24" s="477">
        <f>D24*4.5/1000*1753718.9</f>
        <v>5713616.1761999996</v>
      </c>
      <c r="F24" s="478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  <c r="BI24" s="207"/>
      <c r="BJ24" s="207"/>
      <c r="BK24" s="207"/>
      <c r="BL24" s="207"/>
      <c r="BM24" s="207"/>
      <c r="BN24" s="207"/>
      <c r="BO24" s="207"/>
      <c r="BP24" s="207"/>
      <c r="BQ24" s="207"/>
      <c r="BR24" s="207"/>
      <c r="BS24" s="207"/>
      <c r="BT24" s="207"/>
      <c r="BU24" s="207"/>
      <c r="BV24" s="207"/>
      <c r="BW24" s="207"/>
      <c r="BX24" s="207"/>
    </row>
    <row r="25" spans="1:76" s="473" customFormat="1" ht="33" x14ac:dyDescent="0.25">
      <c r="A25" s="207"/>
      <c r="B25" s="474">
        <v>18</v>
      </c>
      <c r="C25" s="475" t="s">
        <v>577</v>
      </c>
      <c r="D25" s="476">
        <v>351</v>
      </c>
      <c r="E25" s="477">
        <f>D25*4.5/1000*1753718.9</f>
        <v>2769999.0025499999</v>
      </c>
      <c r="F25" s="478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  <c r="BI25" s="207"/>
      <c r="BJ25" s="207"/>
      <c r="BK25" s="207"/>
      <c r="BL25" s="207"/>
      <c r="BM25" s="207"/>
      <c r="BN25" s="207"/>
      <c r="BO25" s="207"/>
      <c r="BP25" s="207"/>
      <c r="BQ25" s="207"/>
      <c r="BR25" s="207"/>
      <c r="BS25" s="207"/>
      <c r="BT25" s="207"/>
      <c r="BU25" s="207"/>
      <c r="BV25" s="207"/>
      <c r="BW25" s="207"/>
      <c r="BX25" s="207"/>
    </row>
    <row r="26" spans="1:76" s="473" customFormat="1" ht="33" x14ac:dyDescent="0.25">
      <c r="A26" s="207"/>
      <c r="B26" s="474">
        <v>19</v>
      </c>
      <c r="C26" s="475" t="s">
        <v>578</v>
      </c>
      <c r="D26" s="476">
        <v>450</v>
      </c>
      <c r="E26" s="477">
        <f t="shared" ref="E26:E31" si="2">D26*4.5/1000*1753718.9</f>
        <v>3551280.7724999995</v>
      </c>
      <c r="F26" s="478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  <c r="BI26" s="207"/>
      <c r="BJ26" s="207"/>
      <c r="BK26" s="207"/>
      <c r="BL26" s="207"/>
      <c r="BM26" s="207"/>
      <c r="BN26" s="207"/>
      <c r="BO26" s="207"/>
      <c r="BP26" s="207"/>
      <c r="BQ26" s="207"/>
      <c r="BR26" s="207"/>
      <c r="BS26" s="207"/>
      <c r="BT26" s="207"/>
      <c r="BU26" s="207"/>
      <c r="BV26" s="207"/>
      <c r="BW26" s="207"/>
      <c r="BX26" s="207"/>
    </row>
    <row r="27" spans="1:76" s="473" customFormat="1" ht="33" x14ac:dyDescent="0.25">
      <c r="A27" s="207"/>
      <c r="B27" s="474">
        <v>20</v>
      </c>
      <c r="C27" s="475" t="s">
        <v>581</v>
      </c>
      <c r="D27" s="476">
        <v>578</v>
      </c>
      <c r="E27" s="477">
        <f t="shared" si="2"/>
        <v>4561422.8588999994</v>
      </c>
      <c r="F27" s="478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7"/>
      <c r="BO27" s="207"/>
      <c r="BP27" s="207"/>
      <c r="BQ27" s="207"/>
      <c r="BR27" s="207"/>
      <c r="BS27" s="207"/>
      <c r="BT27" s="207"/>
      <c r="BU27" s="207"/>
      <c r="BV27" s="207"/>
      <c r="BW27" s="207"/>
      <c r="BX27" s="207"/>
    </row>
    <row r="28" spans="1:76" s="473" customFormat="1" ht="33" x14ac:dyDescent="0.25">
      <c r="A28" s="207"/>
      <c r="B28" s="474">
        <v>21</v>
      </c>
      <c r="C28" s="475" t="s">
        <v>583</v>
      </c>
      <c r="D28" s="476">
        <v>908</v>
      </c>
      <c r="E28" s="477">
        <f t="shared" si="2"/>
        <v>7165695.4254000001</v>
      </c>
      <c r="F28" s="478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7"/>
      <c r="BN28" s="207"/>
      <c r="BO28" s="207"/>
      <c r="BP28" s="207"/>
      <c r="BQ28" s="207"/>
      <c r="BR28" s="207"/>
      <c r="BS28" s="207"/>
      <c r="BT28" s="207"/>
      <c r="BU28" s="207"/>
      <c r="BV28" s="207"/>
      <c r="BW28" s="207"/>
      <c r="BX28" s="207"/>
    </row>
    <row r="29" spans="1:76" s="473" customFormat="1" ht="33" x14ac:dyDescent="0.25">
      <c r="A29" s="207"/>
      <c r="B29" s="474">
        <v>22</v>
      </c>
      <c r="C29" s="475" t="s">
        <v>585</v>
      </c>
      <c r="D29" s="476">
        <v>956</v>
      </c>
      <c r="E29" s="477">
        <f t="shared" si="2"/>
        <v>7544498.707799999</v>
      </c>
      <c r="F29" s="478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</row>
    <row r="30" spans="1:76" s="473" customFormat="1" ht="33" x14ac:dyDescent="0.25">
      <c r="A30" s="207"/>
      <c r="B30" s="481">
        <v>23</v>
      </c>
      <c r="C30" s="480" t="s">
        <v>782</v>
      </c>
      <c r="D30" s="482">
        <v>567</v>
      </c>
      <c r="E30" s="483">
        <f>D30*4.5/1000*1753718.9+0.03</f>
        <v>4474613.8033500006</v>
      </c>
      <c r="F30" s="484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  <c r="BI30" s="207"/>
      <c r="BJ30" s="207"/>
      <c r="BK30" s="207"/>
      <c r="BL30" s="207"/>
      <c r="BM30" s="207"/>
      <c r="BN30" s="207"/>
      <c r="BO30" s="207"/>
      <c r="BP30" s="207"/>
      <c r="BQ30" s="207"/>
      <c r="BR30" s="207"/>
      <c r="BS30" s="207"/>
      <c r="BT30" s="207"/>
      <c r="BU30" s="207"/>
      <c r="BV30" s="207"/>
      <c r="BW30" s="207"/>
      <c r="BX30" s="207"/>
    </row>
    <row r="31" spans="1:76" s="473" customFormat="1" ht="33" x14ac:dyDescent="0.25">
      <c r="A31" s="207"/>
      <c r="B31" s="474">
        <v>24</v>
      </c>
      <c r="C31" s="475" t="s">
        <v>781</v>
      </c>
      <c r="D31" s="476">
        <v>335</v>
      </c>
      <c r="E31" s="477">
        <f t="shared" si="2"/>
        <v>2643731.24175</v>
      </c>
      <c r="F31" s="478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</row>
    <row r="32" spans="1:76" s="473" customFormat="1" ht="33" x14ac:dyDescent="0.25">
      <c r="A32" s="207"/>
      <c r="B32" s="481">
        <v>25</v>
      </c>
      <c r="C32" s="480" t="s">
        <v>590</v>
      </c>
      <c r="D32" s="482">
        <v>1300</v>
      </c>
      <c r="E32" s="483">
        <f>D32*4.5/1000*1753718.9</f>
        <v>10259255.564999999</v>
      </c>
      <c r="F32" s="484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  <c r="BI32" s="207"/>
      <c r="BJ32" s="207"/>
      <c r="BK32" s="207"/>
      <c r="BL32" s="207"/>
      <c r="BM32" s="207"/>
      <c r="BN32" s="207"/>
      <c r="BO32" s="207"/>
      <c r="BP32" s="207"/>
      <c r="BQ32" s="207"/>
      <c r="BR32" s="207"/>
      <c r="BS32" s="207"/>
      <c r="BT32" s="207"/>
      <c r="BU32" s="207"/>
      <c r="BV32" s="207"/>
      <c r="BW32" s="207"/>
      <c r="BX32" s="207"/>
    </row>
    <row r="33" spans="1:76" s="473" customFormat="1" ht="33" x14ac:dyDescent="0.25">
      <c r="A33" s="207"/>
      <c r="B33" s="474">
        <v>26</v>
      </c>
      <c r="C33" s="475" t="s">
        <v>797</v>
      </c>
      <c r="D33" s="476">
        <v>643</v>
      </c>
      <c r="E33" s="479">
        <f>D33*4.5/1000*1753718.9</f>
        <v>5074385.6371499998</v>
      </c>
      <c r="F33" s="478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</row>
    <row r="34" spans="1:76" s="473" customFormat="1" ht="49.5" x14ac:dyDescent="0.25">
      <c r="A34" s="207"/>
      <c r="B34" s="474">
        <v>27</v>
      </c>
      <c r="C34" s="475" t="s">
        <v>592</v>
      </c>
      <c r="D34" s="476">
        <v>148</v>
      </c>
      <c r="E34" s="477">
        <f t="shared" ref="E34:E55" si="3">D34*4.5/1000*1753718.9</f>
        <v>1167976.7874</v>
      </c>
      <c r="F34" s="478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07"/>
      <c r="BU34" s="207"/>
      <c r="BV34" s="207"/>
      <c r="BW34" s="207"/>
      <c r="BX34" s="207"/>
    </row>
    <row r="35" spans="1:76" s="473" customFormat="1" ht="33" x14ac:dyDescent="0.25">
      <c r="A35" s="207"/>
      <c r="B35" s="474">
        <v>28</v>
      </c>
      <c r="C35" s="475" t="s">
        <v>594</v>
      </c>
      <c r="D35" s="476">
        <v>544</v>
      </c>
      <c r="E35" s="479">
        <f t="shared" si="3"/>
        <v>4293103.8671999993</v>
      </c>
      <c r="F35" s="478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S35" s="207"/>
      <c r="BT35" s="207"/>
      <c r="BU35" s="207"/>
      <c r="BV35" s="207"/>
      <c r="BW35" s="207"/>
      <c r="BX35" s="207"/>
    </row>
    <row r="36" spans="1:76" s="473" customFormat="1" ht="33" x14ac:dyDescent="0.25">
      <c r="A36" s="207"/>
      <c r="B36" s="474">
        <v>29</v>
      </c>
      <c r="C36" s="475" t="s">
        <v>595</v>
      </c>
      <c r="D36" s="476">
        <v>443</v>
      </c>
      <c r="E36" s="479">
        <f t="shared" si="3"/>
        <v>3496038.6271500001</v>
      </c>
      <c r="F36" s="478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7"/>
      <c r="BO36" s="207"/>
      <c r="BP36" s="207"/>
      <c r="BQ36" s="207"/>
      <c r="BR36" s="207"/>
      <c r="BS36" s="207"/>
      <c r="BT36" s="207"/>
      <c r="BU36" s="207"/>
      <c r="BV36" s="207"/>
      <c r="BW36" s="207"/>
      <c r="BX36" s="207"/>
    </row>
    <row r="37" spans="1:76" s="473" customFormat="1" ht="33" x14ac:dyDescent="0.25">
      <c r="A37" s="207"/>
      <c r="B37" s="474">
        <v>30</v>
      </c>
      <c r="C37" s="475" t="s">
        <v>596</v>
      </c>
      <c r="D37" s="476">
        <v>714</v>
      </c>
      <c r="E37" s="479">
        <f t="shared" si="3"/>
        <v>5634698.8256999999</v>
      </c>
      <c r="F37" s="478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07"/>
      <c r="BU37" s="207"/>
      <c r="BV37" s="207"/>
      <c r="BW37" s="207"/>
      <c r="BX37" s="207"/>
    </row>
    <row r="38" spans="1:76" s="473" customFormat="1" ht="33" x14ac:dyDescent="0.25">
      <c r="A38" s="207"/>
      <c r="B38" s="481">
        <v>31</v>
      </c>
      <c r="C38" s="480" t="s">
        <v>597</v>
      </c>
      <c r="D38" s="482">
        <v>142</v>
      </c>
      <c r="E38" s="485">
        <f>D38*4.5/1000*1753718.9-0.05</f>
        <v>1120626.3270999999</v>
      </c>
      <c r="F38" s="484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07"/>
      <c r="BU38" s="207"/>
      <c r="BV38" s="207"/>
      <c r="BW38" s="207"/>
      <c r="BX38" s="207"/>
    </row>
    <row r="39" spans="1:76" s="473" customFormat="1" ht="33" x14ac:dyDescent="0.25">
      <c r="A39" s="207"/>
      <c r="B39" s="474">
        <v>32</v>
      </c>
      <c r="C39" s="475" t="s">
        <v>598</v>
      </c>
      <c r="D39" s="476">
        <v>160</v>
      </c>
      <c r="E39" s="479">
        <f t="shared" si="3"/>
        <v>1262677.6079999998</v>
      </c>
      <c r="F39" s="478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7"/>
      <c r="BU39" s="207"/>
      <c r="BV39" s="207"/>
      <c r="BW39" s="207"/>
      <c r="BX39" s="207"/>
    </row>
    <row r="40" spans="1:76" s="473" customFormat="1" ht="33" x14ac:dyDescent="0.25">
      <c r="A40" s="207"/>
      <c r="B40" s="474">
        <v>33</v>
      </c>
      <c r="C40" s="475" t="s">
        <v>599</v>
      </c>
      <c r="D40" s="476">
        <v>467</v>
      </c>
      <c r="E40" s="479">
        <f t="shared" si="3"/>
        <v>3685440.26835</v>
      </c>
      <c r="F40" s="478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207"/>
      <c r="BO40" s="207"/>
      <c r="BP40" s="207"/>
      <c r="BQ40" s="207"/>
      <c r="BR40" s="207"/>
      <c r="BS40" s="207"/>
      <c r="BT40" s="207"/>
      <c r="BU40" s="207"/>
      <c r="BV40" s="207"/>
      <c r="BW40" s="207"/>
      <c r="BX40" s="207"/>
    </row>
    <row r="41" spans="1:76" s="473" customFormat="1" ht="33" x14ac:dyDescent="0.25">
      <c r="A41" s="207"/>
      <c r="B41" s="474">
        <v>34</v>
      </c>
      <c r="C41" s="475" t="s">
        <v>600</v>
      </c>
      <c r="D41" s="476">
        <v>186</v>
      </c>
      <c r="E41" s="479">
        <f t="shared" si="3"/>
        <v>1467862.7192999998</v>
      </c>
      <c r="F41" s="478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7"/>
      <c r="BQ41" s="207"/>
      <c r="BR41" s="207"/>
      <c r="BS41" s="207"/>
      <c r="BT41" s="207"/>
      <c r="BU41" s="207"/>
      <c r="BV41" s="207"/>
      <c r="BW41" s="207"/>
      <c r="BX41" s="207"/>
    </row>
    <row r="42" spans="1:76" s="473" customFormat="1" ht="49.5" x14ac:dyDescent="0.25">
      <c r="A42" s="207"/>
      <c r="B42" s="474">
        <v>35</v>
      </c>
      <c r="C42" s="475" t="s">
        <v>783</v>
      </c>
      <c r="D42" s="476">
        <v>448</v>
      </c>
      <c r="E42" s="479">
        <f t="shared" si="3"/>
        <v>3535497.3023999999</v>
      </c>
      <c r="F42" s="478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  <c r="BI42" s="207"/>
      <c r="BJ42" s="207"/>
      <c r="BK42" s="207"/>
      <c r="BL42" s="207"/>
      <c r="BM42" s="207"/>
      <c r="BN42" s="207"/>
      <c r="BO42" s="207"/>
      <c r="BP42" s="207"/>
      <c r="BQ42" s="207"/>
      <c r="BR42" s="207"/>
      <c r="BS42" s="207"/>
      <c r="BT42" s="207"/>
      <c r="BU42" s="207"/>
      <c r="BV42" s="207"/>
      <c r="BW42" s="207"/>
      <c r="BX42" s="207"/>
    </row>
    <row r="43" spans="1:76" s="473" customFormat="1" ht="33" x14ac:dyDescent="0.25">
      <c r="A43" s="207"/>
      <c r="B43" s="474">
        <v>36</v>
      </c>
      <c r="C43" s="475" t="s">
        <v>601</v>
      </c>
      <c r="D43" s="476">
        <v>911</v>
      </c>
      <c r="E43" s="479">
        <f t="shared" si="3"/>
        <v>7189370.6305499999</v>
      </c>
      <c r="F43" s="478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07"/>
      <c r="BT43" s="207"/>
      <c r="BU43" s="207"/>
      <c r="BV43" s="207"/>
      <c r="BW43" s="207"/>
      <c r="BX43" s="207"/>
    </row>
    <row r="44" spans="1:76" s="473" customFormat="1" ht="33" x14ac:dyDescent="0.25">
      <c r="A44" s="207"/>
      <c r="B44" s="481">
        <v>37</v>
      </c>
      <c r="C44" s="480" t="s">
        <v>784</v>
      </c>
      <c r="D44" s="482">
        <v>972</v>
      </c>
      <c r="E44" s="485">
        <f>D44*4.5/1000*1753718.9-0.02</f>
        <v>7670766.4486000007</v>
      </c>
      <c r="F44" s="484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  <c r="BI44" s="207"/>
      <c r="BJ44" s="207"/>
      <c r="BK44" s="207"/>
      <c r="BL44" s="207"/>
      <c r="BM44" s="207"/>
      <c r="BN44" s="207"/>
      <c r="BO44" s="207"/>
      <c r="BP44" s="207"/>
      <c r="BQ44" s="207"/>
      <c r="BR44" s="207"/>
      <c r="BS44" s="207"/>
      <c r="BT44" s="207"/>
      <c r="BU44" s="207"/>
      <c r="BV44" s="207"/>
      <c r="BW44" s="207"/>
      <c r="BX44" s="207"/>
    </row>
    <row r="45" spans="1:76" s="473" customFormat="1" ht="33" x14ac:dyDescent="0.25">
      <c r="A45" s="207"/>
      <c r="B45" s="474">
        <v>38</v>
      </c>
      <c r="C45" s="475" t="s">
        <v>602</v>
      </c>
      <c r="D45" s="476">
        <v>643</v>
      </c>
      <c r="E45" s="479">
        <f t="shared" si="3"/>
        <v>5074385.6371499998</v>
      </c>
      <c r="F45" s="478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7"/>
      <c r="BP45" s="207"/>
      <c r="BQ45" s="207"/>
      <c r="BR45" s="207"/>
      <c r="BS45" s="207"/>
      <c r="BT45" s="207"/>
      <c r="BU45" s="207"/>
      <c r="BV45" s="207"/>
      <c r="BW45" s="207"/>
      <c r="BX45" s="207"/>
    </row>
    <row r="46" spans="1:76" s="473" customFormat="1" ht="33" x14ac:dyDescent="0.25">
      <c r="A46" s="207"/>
      <c r="B46" s="481">
        <v>39</v>
      </c>
      <c r="C46" s="480" t="s">
        <v>712</v>
      </c>
      <c r="D46" s="482">
        <v>349</v>
      </c>
      <c r="E46" s="485">
        <f>D46*4.5/1000*1753718.9+0.02</f>
        <v>2754215.5524499998</v>
      </c>
      <c r="F46" s="484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7"/>
      <c r="BP46" s="207"/>
      <c r="BQ46" s="207"/>
      <c r="BR46" s="207"/>
      <c r="BS46" s="207"/>
      <c r="BT46" s="207"/>
      <c r="BU46" s="207"/>
      <c r="BV46" s="207"/>
      <c r="BW46" s="207"/>
      <c r="BX46" s="207"/>
    </row>
    <row r="47" spans="1:76" s="473" customFormat="1" ht="33" x14ac:dyDescent="0.25">
      <c r="A47" s="207"/>
      <c r="B47" s="474">
        <v>40</v>
      </c>
      <c r="C47" s="475" t="s">
        <v>603</v>
      </c>
      <c r="D47" s="476">
        <v>151</v>
      </c>
      <c r="E47" s="479">
        <f t="shared" si="3"/>
        <v>1191651.9925499998</v>
      </c>
      <c r="F47" s="478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7"/>
      <c r="BP47" s="207"/>
      <c r="BQ47" s="207"/>
      <c r="BR47" s="207"/>
      <c r="BS47" s="207"/>
      <c r="BT47" s="207"/>
      <c r="BU47" s="207"/>
      <c r="BV47" s="207"/>
      <c r="BW47" s="207"/>
      <c r="BX47" s="207"/>
    </row>
    <row r="48" spans="1:76" s="473" customFormat="1" ht="33" x14ac:dyDescent="0.25">
      <c r="A48" s="207"/>
      <c r="B48" s="474">
        <v>41</v>
      </c>
      <c r="C48" s="475" t="s">
        <v>604</v>
      </c>
      <c r="D48" s="476">
        <v>595</v>
      </c>
      <c r="E48" s="479">
        <f t="shared" si="3"/>
        <v>4695582.3547499999</v>
      </c>
      <c r="F48" s="478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7"/>
      <c r="BP48" s="207"/>
      <c r="BQ48" s="207"/>
      <c r="BR48" s="207"/>
      <c r="BS48" s="207"/>
      <c r="BT48" s="207"/>
      <c r="BU48" s="207"/>
      <c r="BV48" s="207"/>
      <c r="BW48" s="207"/>
      <c r="BX48" s="207"/>
    </row>
    <row r="49" spans="1:76" s="473" customFormat="1" ht="33" x14ac:dyDescent="0.25">
      <c r="A49" s="207"/>
      <c r="B49" s="474">
        <v>42</v>
      </c>
      <c r="C49" s="475" t="s">
        <v>605</v>
      </c>
      <c r="D49" s="476">
        <v>331</v>
      </c>
      <c r="E49" s="479">
        <f t="shared" si="3"/>
        <v>2612164.30155</v>
      </c>
      <c r="F49" s="478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7"/>
      <c r="BP49" s="207"/>
      <c r="BQ49" s="207"/>
      <c r="BR49" s="207"/>
      <c r="BS49" s="207"/>
      <c r="BT49" s="207"/>
      <c r="BU49" s="207"/>
      <c r="BV49" s="207"/>
      <c r="BW49" s="207"/>
      <c r="BX49" s="207"/>
    </row>
    <row r="50" spans="1:76" s="473" customFormat="1" ht="33" x14ac:dyDescent="0.25">
      <c r="A50" s="207"/>
      <c r="B50" s="474">
        <v>43</v>
      </c>
      <c r="C50" s="475" t="s">
        <v>606</v>
      </c>
      <c r="D50" s="476">
        <v>227</v>
      </c>
      <c r="E50" s="479">
        <f t="shared" si="3"/>
        <v>1791423.85635</v>
      </c>
      <c r="F50" s="478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7"/>
      <c r="BR50" s="207"/>
      <c r="BS50" s="207"/>
      <c r="BT50" s="207"/>
      <c r="BU50" s="207"/>
      <c r="BV50" s="207"/>
      <c r="BW50" s="207"/>
      <c r="BX50" s="207"/>
    </row>
    <row r="51" spans="1:76" s="473" customFormat="1" ht="33" x14ac:dyDescent="0.25">
      <c r="A51" s="207"/>
      <c r="B51" s="474">
        <v>44</v>
      </c>
      <c r="C51" s="475" t="s">
        <v>607</v>
      </c>
      <c r="D51" s="476">
        <v>578</v>
      </c>
      <c r="E51" s="479">
        <f t="shared" si="3"/>
        <v>4561422.8588999994</v>
      </c>
      <c r="F51" s="478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7"/>
      <c r="BR51" s="207"/>
      <c r="BS51" s="207"/>
      <c r="BT51" s="207"/>
      <c r="BU51" s="207"/>
      <c r="BV51" s="207"/>
      <c r="BW51" s="207"/>
      <c r="BX51" s="207"/>
    </row>
    <row r="52" spans="1:76" s="473" customFormat="1" ht="33" x14ac:dyDescent="0.25">
      <c r="A52" s="207"/>
      <c r="B52" s="474">
        <v>45</v>
      </c>
      <c r="C52" s="475" t="s">
        <v>713</v>
      </c>
      <c r="D52" s="476">
        <v>173</v>
      </c>
      <c r="E52" s="479">
        <f t="shared" si="3"/>
        <v>1365270.1636499998</v>
      </c>
      <c r="F52" s="478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7"/>
      <c r="BR52" s="207"/>
      <c r="BS52" s="207"/>
      <c r="BT52" s="207"/>
      <c r="BU52" s="207"/>
      <c r="BV52" s="207"/>
      <c r="BW52" s="207"/>
      <c r="BX52" s="207"/>
    </row>
    <row r="53" spans="1:76" s="473" customFormat="1" ht="33" x14ac:dyDescent="0.25">
      <c r="A53" s="207"/>
      <c r="B53" s="474">
        <v>46</v>
      </c>
      <c r="C53" s="475" t="s">
        <v>608</v>
      </c>
      <c r="D53" s="476">
        <v>133</v>
      </c>
      <c r="E53" s="479">
        <f t="shared" si="3"/>
        <v>1049600.76165</v>
      </c>
      <c r="F53" s="478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7"/>
      <c r="BP53" s="207"/>
      <c r="BQ53" s="207"/>
      <c r="BR53" s="207"/>
      <c r="BS53" s="207"/>
      <c r="BT53" s="207"/>
      <c r="BU53" s="207"/>
      <c r="BV53" s="207"/>
      <c r="BW53" s="207"/>
      <c r="BX53" s="207"/>
    </row>
    <row r="54" spans="1:76" s="473" customFormat="1" ht="33" x14ac:dyDescent="0.25">
      <c r="A54" s="207"/>
      <c r="B54" s="474">
        <v>47</v>
      </c>
      <c r="C54" s="475" t="s">
        <v>610</v>
      </c>
      <c r="D54" s="476">
        <v>123</v>
      </c>
      <c r="E54" s="479">
        <f t="shared" si="3"/>
        <v>970683.41114999994</v>
      </c>
      <c r="F54" s="478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07"/>
      <c r="BU54" s="207"/>
      <c r="BV54" s="207"/>
      <c r="BW54" s="207"/>
      <c r="BX54" s="207"/>
    </row>
    <row r="55" spans="1:76" s="473" customFormat="1" ht="33" x14ac:dyDescent="0.25">
      <c r="A55" s="207"/>
      <c r="B55" s="474">
        <v>48</v>
      </c>
      <c r="C55" s="475" t="s">
        <v>611</v>
      </c>
      <c r="D55" s="476">
        <v>160</v>
      </c>
      <c r="E55" s="479">
        <f t="shared" si="3"/>
        <v>1262677.6079999998</v>
      </c>
      <c r="F55" s="478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7"/>
      <c r="BU55" s="207"/>
      <c r="BV55" s="207"/>
      <c r="BW55" s="207"/>
      <c r="BX55" s="207"/>
    </row>
    <row r="56" spans="1:76" s="473" customFormat="1" ht="33" x14ac:dyDescent="0.25">
      <c r="A56" s="207"/>
      <c r="B56" s="481">
        <v>49</v>
      </c>
      <c r="C56" s="480" t="s">
        <v>612</v>
      </c>
      <c r="D56" s="482">
        <v>979</v>
      </c>
      <c r="E56" s="485">
        <f>D56*4.5/1000*1753718.9+0.02</f>
        <v>7726008.6339499997</v>
      </c>
      <c r="F56" s="484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7"/>
      <c r="BS56" s="207"/>
      <c r="BT56" s="207"/>
      <c r="BU56" s="207"/>
      <c r="BV56" s="207"/>
      <c r="BW56" s="207"/>
      <c r="BX56" s="207"/>
    </row>
    <row r="57" spans="1:76" s="473" customFormat="1" ht="33" x14ac:dyDescent="0.25">
      <c r="A57" s="207"/>
      <c r="B57" s="474">
        <v>50</v>
      </c>
      <c r="C57" s="475" t="s">
        <v>613</v>
      </c>
      <c r="D57" s="476">
        <v>638</v>
      </c>
      <c r="E57" s="479">
        <f>D57*4.5/1000*1753718.9</f>
        <v>5034926.9618999995</v>
      </c>
      <c r="F57" s="478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7"/>
      <c r="BR57" s="207"/>
      <c r="BS57" s="207"/>
      <c r="BT57" s="207"/>
      <c r="BU57" s="207"/>
      <c r="BV57" s="207"/>
      <c r="BW57" s="207"/>
      <c r="BX57" s="207"/>
    </row>
    <row r="58" spans="1:76" s="473" customFormat="1" ht="33" x14ac:dyDescent="0.25">
      <c r="A58" s="207"/>
      <c r="B58" s="474">
        <v>51</v>
      </c>
      <c r="C58" s="475" t="s">
        <v>614</v>
      </c>
      <c r="D58" s="476">
        <v>185</v>
      </c>
      <c r="E58" s="479">
        <f>D58*4.5/1000*1753718.9</f>
        <v>1459970.98425</v>
      </c>
      <c r="F58" s="478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7"/>
      <c r="BR58" s="207"/>
      <c r="BS58" s="207"/>
      <c r="BT58" s="207"/>
      <c r="BU58" s="207"/>
      <c r="BV58" s="207"/>
      <c r="BW58" s="207"/>
      <c r="BX58" s="207"/>
    </row>
    <row r="59" spans="1:76" s="473" customFormat="1" ht="33" x14ac:dyDescent="0.25">
      <c r="A59" s="207"/>
      <c r="B59" s="474">
        <v>52</v>
      </c>
      <c r="C59" s="475" t="s">
        <v>615</v>
      </c>
      <c r="D59" s="476">
        <v>105</v>
      </c>
      <c r="E59" s="479">
        <f>D59*4.5/1000*1753718.9</f>
        <v>828632.18024999986</v>
      </c>
      <c r="F59" s="478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07"/>
      <c r="BU59" s="207"/>
      <c r="BV59" s="207"/>
      <c r="BW59" s="207"/>
      <c r="BX59" s="207"/>
    </row>
    <row r="60" spans="1:76" s="473" customFormat="1" ht="33" x14ac:dyDescent="0.25">
      <c r="A60" s="207"/>
      <c r="B60" s="474">
        <v>53</v>
      </c>
      <c r="C60" s="475" t="s">
        <v>616</v>
      </c>
      <c r="D60" s="476">
        <v>323</v>
      </c>
      <c r="E60" s="479">
        <f>D60*4.5/1000*1753718.9</f>
        <v>2549030.4211499998</v>
      </c>
      <c r="F60" s="478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  <c r="BI60" s="207"/>
      <c r="BJ60" s="207"/>
      <c r="BK60" s="207"/>
      <c r="BL60" s="207"/>
      <c r="BM60" s="207"/>
      <c r="BN60" s="207"/>
      <c r="BO60" s="207"/>
      <c r="BP60" s="207"/>
      <c r="BQ60" s="207"/>
      <c r="BR60" s="207"/>
      <c r="BS60" s="207"/>
      <c r="BT60" s="207"/>
      <c r="BU60" s="207"/>
      <c r="BV60" s="207"/>
      <c r="BW60" s="207"/>
      <c r="BX60" s="207"/>
    </row>
    <row r="61" spans="1:76" s="473" customFormat="1" ht="33" x14ac:dyDescent="0.25">
      <c r="A61" s="207"/>
      <c r="B61" s="474">
        <v>54</v>
      </c>
      <c r="C61" s="475" t="s">
        <v>617</v>
      </c>
      <c r="D61" s="476">
        <v>303</v>
      </c>
      <c r="E61" s="479">
        <f>D61*4.5/1000*1753718.9</f>
        <v>2391195.72015</v>
      </c>
      <c r="F61" s="478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  <c r="BI61" s="207"/>
      <c r="BJ61" s="207"/>
      <c r="BK61" s="207"/>
      <c r="BL61" s="207"/>
      <c r="BM61" s="207"/>
      <c r="BN61" s="207"/>
      <c r="BO61" s="207"/>
      <c r="BP61" s="207"/>
      <c r="BQ61" s="207"/>
      <c r="BR61" s="207"/>
      <c r="BS61" s="207"/>
      <c r="BT61" s="207"/>
      <c r="BU61" s="207"/>
      <c r="BV61" s="207"/>
      <c r="BW61" s="207"/>
      <c r="BX61" s="207"/>
    </row>
    <row r="62" spans="1:76" s="473" customFormat="1" ht="33" x14ac:dyDescent="0.25">
      <c r="A62" s="207"/>
      <c r="B62" s="474">
        <v>55</v>
      </c>
      <c r="C62" s="475" t="s">
        <v>618</v>
      </c>
      <c r="D62" s="476">
        <v>1500</v>
      </c>
      <c r="E62" s="479">
        <f t="shared" ref="E62:E71" si="4">D62*4.5/1000*1753718.9</f>
        <v>11837602.574999999</v>
      </c>
      <c r="F62" s="478"/>
      <c r="G62" s="207"/>
      <c r="H62" s="207"/>
      <c r="I62" s="207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07"/>
      <c r="BU62" s="207"/>
      <c r="BV62" s="207"/>
      <c r="BW62" s="207"/>
      <c r="BX62" s="207"/>
    </row>
    <row r="63" spans="1:76" s="473" customFormat="1" ht="33" x14ac:dyDescent="0.25">
      <c r="A63" s="207"/>
      <c r="B63" s="474">
        <v>56</v>
      </c>
      <c r="C63" s="475" t="s">
        <v>867</v>
      </c>
      <c r="D63" s="476">
        <v>877</v>
      </c>
      <c r="E63" s="479">
        <f t="shared" si="4"/>
        <v>6921051.6388499998</v>
      </c>
      <c r="F63" s="478"/>
      <c r="G63" s="207"/>
      <c r="H63" s="207"/>
      <c r="I63" s="207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7"/>
      <c r="BU63" s="207"/>
      <c r="BV63" s="207"/>
      <c r="BW63" s="207"/>
      <c r="BX63" s="207"/>
    </row>
    <row r="64" spans="1:76" s="473" customFormat="1" ht="33" x14ac:dyDescent="0.25">
      <c r="A64" s="207"/>
      <c r="B64" s="474">
        <v>57</v>
      </c>
      <c r="C64" s="475" t="s">
        <v>619</v>
      </c>
      <c r="D64" s="476">
        <v>1000</v>
      </c>
      <c r="E64" s="479">
        <f t="shared" si="4"/>
        <v>7891735.0499999998</v>
      </c>
      <c r="F64" s="478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07"/>
      <c r="BU64" s="207"/>
      <c r="BV64" s="207"/>
      <c r="BW64" s="207"/>
      <c r="BX64" s="207"/>
    </row>
    <row r="65" spans="1:76" s="473" customFormat="1" ht="33" x14ac:dyDescent="0.25">
      <c r="A65" s="207"/>
      <c r="B65" s="474">
        <v>58</v>
      </c>
      <c r="C65" s="475" t="s">
        <v>620</v>
      </c>
      <c r="D65" s="476">
        <v>1000</v>
      </c>
      <c r="E65" s="479">
        <f t="shared" si="4"/>
        <v>7891735.0499999998</v>
      </c>
      <c r="F65" s="478"/>
      <c r="G65" s="207"/>
      <c r="H65" s="207"/>
      <c r="I65" s="207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  <c r="BI65" s="207"/>
      <c r="BJ65" s="207"/>
      <c r="BK65" s="207"/>
      <c r="BL65" s="207"/>
      <c r="BM65" s="207"/>
      <c r="BN65" s="207"/>
      <c r="BO65" s="207"/>
      <c r="BP65" s="207"/>
      <c r="BQ65" s="207"/>
      <c r="BR65" s="207"/>
      <c r="BS65" s="207"/>
      <c r="BT65" s="207"/>
      <c r="BU65" s="207"/>
      <c r="BV65" s="207"/>
      <c r="BW65" s="207"/>
      <c r="BX65" s="207"/>
    </row>
    <row r="66" spans="1:76" s="473" customFormat="1" ht="33" x14ac:dyDescent="0.25">
      <c r="A66" s="207"/>
      <c r="B66" s="474">
        <v>59</v>
      </c>
      <c r="C66" s="475" t="s">
        <v>623</v>
      </c>
      <c r="D66" s="476">
        <v>295</v>
      </c>
      <c r="E66" s="479">
        <f t="shared" si="4"/>
        <v>2328061.8397499998</v>
      </c>
      <c r="F66" s="478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  <c r="BI66" s="207"/>
      <c r="BJ66" s="207"/>
      <c r="BK66" s="207"/>
      <c r="BL66" s="207"/>
      <c r="BM66" s="207"/>
      <c r="BN66" s="207"/>
      <c r="BO66" s="207"/>
      <c r="BP66" s="207"/>
      <c r="BQ66" s="207"/>
      <c r="BR66" s="207"/>
      <c r="BS66" s="207"/>
      <c r="BT66" s="207"/>
      <c r="BU66" s="207"/>
      <c r="BV66" s="207"/>
      <c r="BW66" s="207"/>
      <c r="BX66" s="207"/>
    </row>
    <row r="67" spans="1:76" s="473" customFormat="1" ht="33" x14ac:dyDescent="0.25">
      <c r="A67" s="207"/>
      <c r="B67" s="474">
        <v>60</v>
      </c>
      <c r="C67" s="475" t="s">
        <v>566</v>
      </c>
      <c r="D67" s="476">
        <v>1300</v>
      </c>
      <c r="E67" s="479">
        <f t="shared" si="4"/>
        <v>10259255.564999999</v>
      </c>
      <c r="F67" s="478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  <c r="BI67" s="207"/>
      <c r="BJ67" s="207"/>
      <c r="BK67" s="207"/>
      <c r="BL67" s="207"/>
      <c r="BM67" s="207"/>
      <c r="BN67" s="207"/>
      <c r="BO67" s="207"/>
      <c r="BP67" s="207"/>
      <c r="BQ67" s="207"/>
      <c r="BR67" s="207"/>
      <c r="BS67" s="207"/>
      <c r="BT67" s="207"/>
      <c r="BU67" s="207"/>
      <c r="BV67" s="207"/>
      <c r="BW67" s="207"/>
      <c r="BX67" s="207"/>
    </row>
    <row r="68" spans="1:76" s="473" customFormat="1" ht="33" x14ac:dyDescent="0.25">
      <c r="A68" s="207"/>
      <c r="B68" s="474">
        <v>61</v>
      </c>
      <c r="C68" s="475" t="s">
        <v>528</v>
      </c>
      <c r="D68" s="476">
        <v>472</v>
      </c>
      <c r="E68" s="479">
        <f t="shared" si="4"/>
        <v>3724898.9435999999</v>
      </c>
      <c r="F68" s="478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  <c r="BI68" s="207"/>
      <c r="BJ68" s="207"/>
      <c r="BK68" s="207"/>
      <c r="BL68" s="207"/>
      <c r="BM68" s="207"/>
      <c r="BN68" s="207"/>
      <c r="BO68" s="207"/>
      <c r="BP68" s="207"/>
      <c r="BQ68" s="207"/>
      <c r="BR68" s="207"/>
      <c r="BS68" s="207"/>
      <c r="BT68" s="207"/>
      <c r="BU68" s="207"/>
      <c r="BV68" s="207"/>
      <c r="BW68" s="207"/>
      <c r="BX68" s="207"/>
    </row>
    <row r="69" spans="1:76" s="473" customFormat="1" ht="33" x14ac:dyDescent="0.25">
      <c r="A69" s="207"/>
      <c r="B69" s="474">
        <v>62</v>
      </c>
      <c r="C69" s="475" t="s">
        <v>625</v>
      </c>
      <c r="D69" s="476">
        <v>343</v>
      </c>
      <c r="E69" s="479">
        <f t="shared" si="4"/>
        <v>2706865.1221500002</v>
      </c>
      <c r="F69" s="478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  <c r="BI69" s="207"/>
      <c r="BJ69" s="207"/>
      <c r="BK69" s="207"/>
      <c r="BL69" s="207"/>
      <c r="BM69" s="207"/>
      <c r="BN69" s="207"/>
      <c r="BO69" s="207"/>
      <c r="BP69" s="207"/>
      <c r="BQ69" s="207"/>
      <c r="BR69" s="207"/>
      <c r="BS69" s="207"/>
      <c r="BT69" s="207"/>
      <c r="BU69" s="207"/>
      <c r="BV69" s="207"/>
      <c r="BW69" s="207"/>
      <c r="BX69" s="207"/>
    </row>
    <row r="70" spans="1:76" s="473" customFormat="1" ht="33" x14ac:dyDescent="0.25">
      <c r="A70" s="207"/>
      <c r="B70" s="481">
        <v>63</v>
      </c>
      <c r="C70" s="480" t="s">
        <v>626</v>
      </c>
      <c r="D70" s="482">
        <v>454</v>
      </c>
      <c r="E70" s="485">
        <f>D70*4.5/1000*1753718.9+0.02</f>
        <v>3582847.7327000001</v>
      </c>
      <c r="F70" s="484"/>
      <c r="G70" s="207"/>
      <c r="H70" s="207"/>
      <c r="I70" s="207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  <c r="BI70" s="207"/>
      <c r="BJ70" s="207"/>
      <c r="BK70" s="207"/>
      <c r="BL70" s="207"/>
      <c r="BM70" s="207"/>
      <c r="BN70" s="207"/>
      <c r="BO70" s="207"/>
      <c r="BP70" s="207"/>
      <c r="BQ70" s="207"/>
      <c r="BR70" s="207"/>
      <c r="BS70" s="207"/>
      <c r="BT70" s="207"/>
      <c r="BU70" s="207"/>
      <c r="BV70" s="207"/>
      <c r="BW70" s="207"/>
      <c r="BX70" s="207"/>
    </row>
    <row r="71" spans="1:76" s="473" customFormat="1" ht="33" x14ac:dyDescent="0.25">
      <c r="A71" s="207"/>
      <c r="B71" s="474">
        <v>64</v>
      </c>
      <c r="C71" s="475" t="s">
        <v>627</v>
      </c>
      <c r="D71" s="476">
        <v>328</v>
      </c>
      <c r="E71" s="479">
        <f t="shared" si="4"/>
        <v>2588489.0963999997</v>
      </c>
      <c r="F71" s="478"/>
      <c r="G71" s="207"/>
      <c r="H71" s="207"/>
      <c r="I71" s="207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  <c r="BI71" s="207"/>
      <c r="BJ71" s="207"/>
      <c r="BK71" s="207"/>
      <c r="BL71" s="207"/>
      <c r="BM71" s="207"/>
      <c r="BN71" s="207"/>
      <c r="BO71" s="207"/>
      <c r="BP71" s="207"/>
      <c r="BQ71" s="207"/>
      <c r="BR71" s="207"/>
      <c r="BS71" s="207"/>
      <c r="BT71" s="207"/>
      <c r="BU71" s="207"/>
      <c r="BV71" s="207"/>
      <c r="BW71" s="207"/>
      <c r="BX71" s="207"/>
    </row>
    <row r="72" spans="1:76" s="486" customFormat="1" ht="16.5" x14ac:dyDescent="0.25">
      <c r="A72" s="470"/>
      <c r="B72" s="487"/>
      <c r="C72" s="488" t="s">
        <v>488</v>
      </c>
      <c r="D72" s="489">
        <f>SUM(D14:D71)</f>
        <v>36083</v>
      </c>
      <c r="E72" s="490">
        <f>SUM(E14:E71)</f>
        <v>284757475.82915008</v>
      </c>
      <c r="F72" s="487"/>
      <c r="G72" s="470"/>
      <c r="H72" s="470"/>
      <c r="I72" s="470"/>
      <c r="J72" s="470"/>
      <c r="K72" s="470"/>
      <c r="L72" s="470"/>
      <c r="M72" s="470"/>
      <c r="N72" s="470"/>
      <c r="O72" s="470"/>
      <c r="P72" s="470"/>
      <c r="Q72" s="470"/>
      <c r="R72" s="470"/>
      <c r="S72" s="470"/>
      <c r="T72" s="470"/>
      <c r="U72" s="470"/>
      <c r="V72" s="470"/>
      <c r="W72" s="470"/>
      <c r="X72" s="470"/>
      <c r="Y72" s="470"/>
      <c r="Z72" s="470"/>
      <c r="AA72" s="470"/>
      <c r="AB72" s="470"/>
      <c r="AC72" s="470"/>
      <c r="AD72" s="470"/>
      <c r="AE72" s="470"/>
      <c r="AF72" s="470"/>
      <c r="AG72" s="470"/>
      <c r="AH72" s="470"/>
      <c r="AI72" s="470"/>
      <c r="AJ72" s="470"/>
      <c r="AK72" s="470"/>
      <c r="AL72" s="470"/>
      <c r="AM72" s="470"/>
      <c r="AN72" s="470"/>
      <c r="AO72" s="470"/>
      <c r="AP72" s="470"/>
      <c r="AQ72" s="470"/>
      <c r="AR72" s="470"/>
      <c r="AS72" s="470"/>
      <c r="AT72" s="470"/>
      <c r="AU72" s="470"/>
      <c r="AV72" s="470"/>
      <c r="AW72" s="470"/>
      <c r="AX72" s="470"/>
      <c r="AY72" s="470"/>
      <c r="AZ72" s="470"/>
      <c r="BA72" s="470"/>
      <c r="BB72" s="470"/>
      <c r="BC72" s="470"/>
      <c r="BD72" s="470"/>
      <c r="BE72" s="470"/>
      <c r="BF72" s="470"/>
      <c r="BG72" s="470"/>
      <c r="BH72" s="470"/>
      <c r="BI72" s="470"/>
      <c r="BJ72" s="470"/>
      <c r="BK72" s="470"/>
      <c r="BL72" s="470"/>
      <c r="BM72" s="470"/>
      <c r="BN72" s="470"/>
      <c r="BO72" s="470"/>
      <c r="BP72" s="470"/>
      <c r="BQ72" s="470"/>
      <c r="BR72" s="470"/>
      <c r="BS72" s="470"/>
      <c r="BT72" s="470"/>
      <c r="BU72" s="470"/>
      <c r="BV72" s="470"/>
      <c r="BW72" s="470"/>
      <c r="BX72" s="470"/>
    </row>
    <row r="73" spans="1:76" s="491" customFormat="1" ht="16.5" x14ac:dyDescent="0.25">
      <c r="A73" s="207"/>
      <c r="B73" s="775">
        <v>2025</v>
      </c>
      <c r="C73" s="776"/>
      <c r="D73" s="776"/>
      <c r="E73" s="776"/>
      <c r="F73" s="777"/>
      <c r="G73" s="207"/>
      <c r="H73" s="207"/>
      <c r="I73" s="207"/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  <c r="BI73" s="207"/>
      <c r="BJ73" s="207"/>
      <c r="BK73" s="207"/>
      <c r="BL73" s="207"/>
      <c r="BM73" s="207"/>
      <c r="BN73" s="207"/>
      <c r="BO73" s="207"/>
      <c r="BP73" s="207"/>
      <c r="BQ73" s="207"/>
      <c r="BR73" s="207"/>
      <c r="BS73" s="207"/>
      <c r="BT73" s="207"/>
      <c r="BU73" s="207"/>
      <c r="BV73" s="207"/>
      <c r="BW73" s="207"/>
      <c r="BX73" s="207"/>
    </row>
    <row r="74" spans="1:76" s="491" customFormat="1" ht="33" x14ac:dyDescent="0.25">
      <c r="A74" s="207"/>
      <c r="B74" s="492">
        <v>65</v>
      </c>
      <c r="C74" s="493" t="s">
        <v>624</v>
      </c>
      <c r="D74" s="494">
        <v>314</v>
      </c>
      <c r="E74" s="495">
        <v>2545461.08</v>
      </c>
      <c r="F74" s="496"/>
      <c r="G74" s="207"/>
      <c r="H74" s="207"/>
      <c r="I74" s="207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  <c r="BI74" s="207"/>
      <c r="BJ74" s="207"/>
      <c r="BK74" s="207"/>
      <c r="BL74" s="207"/>
      <c r="BM74" s="207"/>
      <c r="BN74" s="207"/>
      <c r="BO74" s="207"/>
      <c r="BP74" s="207"/>
      <c r="BQ74" s="207"/>
      <c r="BR74" s="207"/>
      <c r="BS74" s="207"/>
      <c r="BT74" s="207"/>
      <c r="BU74" s="207"/>
      <c r="BV74" s="207"/>
      <c r="BW74" s="207"/>
      <c r="BX74" s="207"/>
    </row>
    <row r="75" spans="1:76" s="491" customFormat="1" ht="33" x14ac:dyDescent="0.25">
      <c r="A75" s="207"/>
      <c r="B75" s="497">
        <v>66</v>
      </c>
      <c r="C75" s="498" t="s">
        <v>523</v>
      </c>
      <c r="D75" s="499">
        <v>538</v>
      </c>
      <c r="E75" s="500">
        <v>4245753.46</v>
      </c>
      <c r="F75" s="501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  <c r="BI75" s="207"/>
      <c r="BJ75" s="207"/>
      <c r="BK75" s="207"/>
      <c r="BL75" s="207"/>
      <c r="BM75" s="207"/>
      <c r="BN75" s="207"/>
      <c r="BO75" s="207"/>
      <c r="BP75" s="207"/>
      <c r="BQ75" s="207"/>
      <c r="BR75" s="207"/>
      <c r="BS75" s="207"/>
      <c r="BT75" s="207"/>
      <c r="BU75" s="207"/>
      <c r="BV75" s="207"/>
      <c r="BW75" s="207"/>
      <c r="BX75" s="207"/>
    </row>
    <row r="76" spans="1:76" s="491" customFormat="1" ht="33" x14ac:dyDescent="0.25">
      <c r="A76" s="207"/>
      <c r="B76" s="492">
        <v>67</v>
      </c>
      <c r="C76" s="493" t="s">
        <v>524</v>
      </c>
      <c r="D76" s="494">
        <v>206</v>
      </c>
      <c r="E76" s="479">
        <f t="shared" ref="E76:E103" si="5">D76*4.5/1000*1753718.9</f>
        <v>1625697.4202999999</v>
      </c>
      <c r="F76" s="496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  <c r="BI76" s="207"/>
      <c r="BJ76" s="207"/>
      <c r="BK76" s="207"/>
      <c r="BL76" s="207"/>
      <c r="BM76" s="207"/>
      <c r="BN76" s="207"/>
      <c r="BO76" s="207"/>
      <c r="BP76" s="207"/>
      <c r="BQ76" s="207"/>
      <c r="BR76" s="207"/>
      <c r="BS76" s="207"/>
      <c r="BT76" s="207"/>
      <c r="BU76" s="207"/>
      <c r="BV76" s="207"/>
      <c r="BW76" s="207"/>
      <c r="BX76" s="207"/>
    </row>
    <row r="77" spans="1:76" s="491" customFormat="1" ht="33" x14ac:dyDescent="0.25">
      <c r="A77" s="207"/>
      <c r="B77" s="492">
        <v>68</v>
      </c>
      <c r="C77" s="493" t="s">
        <v>525</v>
      </c>
      <c r="D77" s="494">
        <v>192</v>
      </c>
      <c r="E77" s="479">
        <f t="shared" si="5"/>
        <v>1515213.1295999999</v>
      </c>
      <c r="F77" s="496"/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  <c r="BI77" s="207"/>
      <c r="BJ77" s="207"/>
      <c r="BK77" s="207"/>
      <c r="BL77" s="207"/>
      <c r="BM77" s="207"/>
      <c r="BN77" s="207"/>
      <c r="BO77" s="207"/>
      <c r="BP77" s="207"/>
      <c r="BQ77" s="207"/>
      <c r="BR77" s="207"/>
      <c r="BS77" s="207"/>
      <c r="BT77" s="207"/>
      <c r="BU77" s="207"/>
      <c r="BV77" s="207"/>
      <c r="BW77" s="207"/>
      <c r="BX77" s="207"/>
    </row>
    <row r="78" spans="1:76" s="491" customFormat="1" ht="33" x14ac:dyDescent="0.25">
      <c r="A78" s="207"/>
      <c r="B78" s="492">
        <v>69</v>
      </c>
      <c r="C78" s="493" t="s">
        <v>526</v>
      </c>
      <c r="D78" s="494">
        <v>1700</v>
      </c>
      <c r="E78" s="495">
        <f t="shared" si="5"/>
        <v>13415949.584999999</v>
      </c>
      <c r="F78" s="496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7"/>
      <c r="BS78" s="207"/>
      <c r="BT78" s="207"/>
      <c r="BU78" s="207"/>
      <c r="BV78" s="207"/>
      <c r="BW78" s="207"/>
      <c r="BX78" s="207"/>
    </row>
    <row r="79" spans="1:76" s="491" customFormat="1" ht="33" x14ac:dyDescent="0.25">
      <c r="A79" s="207"/>
      <c r="B79" s="492">
        <v>70</v>
      </c>
      <c r="C79" s="493" t="s">
        <v>527</v>
      </c>
      <c r="D79" s="494">
        <v>184</v>
      </c>
      <c r="E79" s="495">
        <f t="shared" si="5"/>
        <v>1452079.2492</v>
      </c>
      <c r="F79" s="496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  <c r="BI79" s="207"/>
      <c r="BJ79" s="207"/>
      <c r="BK79" s="207"/>
      <c r="BL79" s="207"/>
      <c r="BM79" s="207"/>
      <c r="BN79" s="207"/>
      <c r="BO79" s="207"/>
      <c r="BP79" s="207"/>
      <c r="BQ79" s="207"/>
      <c r="BR79" s="207"/>
      <c r="BS79" s="207"/>
      <c r="BT79" s="207"/>
      <c r="BU79" s="207"/>
      <c r="BV79" s="207"/>
      <c r="BW79" s="207"/>
      <c r="BX79" s="207"/>
    </row>
    <row r="80" spans="1:76" s="491" customFormat="1" ht="33" x14ac:dyDescent="0.25">
      <c r="A80" s="207"/>
      <c r="B80" s="492">
        <v>71</v>
      </c>
      <c r="C80" s="493" t="s">
        <v>529</v>
      </c>
      <c r="D80" s="494">
        <v>357</v>
      </c>
      <c r="E80" s="495">
        <f t="shared" si="5"/>
        <v>2817349.41285</v>
      </c>
      <c r="F80" s="496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  <c r="BI80" s="207"/>
      <c r="BJ80" s="207"/>
      <c r="BK80" s="207"/>
      <c r="BL80" s="207"/>
      <c r="BM80" s="207"/>
      <c r="BN80" s="207"/>
      <c r="BO80" s="207"/>
      <c r="BP80" s="207"/>
      <c r="BQ80" s="207"/>
      <c r="BR80" s="207"/>
      <c r="BS80" s="207"/>
      <c r="BT80" s="207"/>
      <c r="BU80" s="207"/>
      <c r="BV80" s="207"/>
      <c r="BW80" s="207"/>
      <c r="BX80" s="207"/>
    </row>
    <row r="81" spans="1:76" s="491" customFormat="1" ht="33" x14ac:dyDescent="0.25">
      <c r="A81" s="207"/>
      <c r="B81" s="492">
        <v>72</v>
      </c>
      <c r="C81" s="493" t="s">
        <v>530</v>
      </c>
      <c r="D81" s="494">
        <v>852</v>
      </c>
      <c r="E81" s="495">
        <f t="shared" si="5"/>
        <v>6723758.2626</v>
      </c>
      <c r="F81" s="496"/>
      <c r="G81" s="207"/>
      <c r="H81" s="207"/>
      <c r="I81" s="207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  <c r="BI81" s="207"/>
      <c r="BJ81" s="207"/>
      <c r="BK81" s="207"/>
      <c r="BL81" s="207"/>
      <c r="BM81" s="207"/>
      <c r="BN81" s="207"/>
      <c r="BO81" s="207"/>
      <c r="BP81" s="207"/>
      <c r="BQ81" s="207"/>
      <c r="BR81" s="207"/>
      <c r="BS81" s="207"/>
      <c r="BT81" s="207"/>
      <c r="BU81" s="207"/>
      <c r="BV81" s="207"/>
      <c r="BW81" s="207"/>
      <c r="BX81" s="207"/>
    </row>
    <row r="82" spans="1:76" s="491" customFormat="1" ht="33" x14ac:dyDescent="0.25">
      <c r="A82" s="207"/>
      <c r="B82" s="502">
        <v>73</v>
      </c>
      <c r="C82" s="503" t="s">
        <v>531</v>
      </c>
      <c r="D82" s="504">
        <v>221</v>
      </c>
      <c r="E82" s="505">
        <f>D82*4.5/1000*1753718.9-0.01</f>
        <v>1744073.4360499999</v>
      </c>
      <c r="F82" s="506"/>
      <c r="G82" s="207"/>
      <c r="H82" s="207"/>
      <c r="I82" s="207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  <c r="BI82" s="207"/>
      <c r="BJ82" s="207"/>
      <c r="BK82" s="207"/>
      <c r="BL82" s="207"/>
      <c r="BM82" s="207"/>
      <c r="BN82" s="207"/>
      <c r="BO82" s="207"/>
      <c r="BP82" s="207"/>
      <c r="BQ82" s="207"/>
      <c r="BR82" s="207"/>
      <c r="BS82" s="207"/>
      <c r="BT82" s="207"/>
      <c r="BU82" s="207"/>
      <c r="BV82" s="207"/>
      <c r="BW82" s="207"/>
      <c r="BX82" s="207"/>
    </row>
    <row r="83" spans="1:76" s="491" customFormat="1" ht="33" x14ac:dyDescent="0.25">
      <c r="A83" s="207"/>
      <c r="B83" s="492">
        <v>74</v>
      </c>
      <c r="C83" s="493" t="s">
        <v>532</v>
      </c>
      <c r="D83" s="494">
        <v>295</v>
      </c>
      <c r="E83" s="495">
        <f t="shared" si="5"/>
        <v>2328061.8397499998</v>
      </c>
      <c r="F83" s="496"/>
      <c r="G83" s="207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  <c r="BI83" s="207"/>
      <c r="BJ83" s="207"/>
      <c r="BK83" s="207"/>
      <c r="BL83" s="207"/>
      <c r="BM83" s="207"/>
      <c r="BN83" s="207"/>
      <c r="BO83" s="207"/>
      <c r="BP83" s="207"/>
      <c r="BQ83" s="207"/>
      <c r="BR83" s="207"/>
      <c r="BS83" s="207"/>
      <c r="BT83" s="207"/>
      <c r="BU83" s="207"/>
      <c r="BV83" s="207"/>
      <c r="BW83" s="207"/>
      <c r="BX83" s="207"/>
    </row>
    <row r="84" spans="1:76" s="491" customFormat="1" ht="33" x14ac:dyDescent="0.25">
      <c r="A84" s="207"/>
      <c r="B84" s="492">
        <v>75</v>
      </c>
      <c r="C84" s="493" t="s">
        <v>533</v>
      </c>
      <c r="D84" s="494">
        <v>230</v>
      </c>
      <c r="E84" s="495">
        <f t="shared" si="5"/>
        <v>1815099.0614999998</v>
      </c>
      <c r="F84" s="496"/>
      <c r="G84" s="207"/>
      <c r="H84" s="207"/>
      <c r="I84" s="207"/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  <c r="BI84" s="207"/>
      <c r="BJ84" s="207"/>
      <c r="BK84" s="207"/>
      <c r="BL84" s="207"/>
      <c r="BM84" s="207"/>
      <c r="BN84" s="207"/>
      <c r="BO84" s="207"/>
      <c r="BP84" s="207"/>
      <c r="BQ84" s="207"/>
      <c r="BR84" s="207"/>
      <c r="BS84" s="207"/>
      <c r="BT84" s="207"/>
      <c r="BU84" s="207"/>
      <c r="BV84" s="207"/>
      <c r="BW84" s="207"/>
      <c r="BX84" s="207"/>
    </row>
    <row r="85" spans="1:76" s="491" customFormat="1" ht="33" x14ac:dyDescent="0.25">
      <c r="A85" s="207"/>
      <c r="B85" s="492">
        <v>76</v>
      </c>
      <c r="C85" s="493" t="s">
        <v>714</v>
      </c>
      <c r="D85" s="494">
        <v>250</v>
      </c>
      <c r="E85" s="495">
        <f t="shared" si="5"/>
        <v>1972933.7625</v>
      </c>
      <c r="F85" s="496"/>
      <c r="G85" s="207"/>
      <c r="H85" s="207"/>
      <c r="I85" s="207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  <c r="BI85" s="207"/>
      <c r="BJ85" s="207"/>
      <c r="BK85" s="207"/>
      <c r="BL85" s="207"/>
      <c r="BM85" s="207"/>
      <c r="BN85" s="207"/>
      <c r="BO85" s="207"/>
      <c r="BP85" s="207"/>
      <c r="BQ85" s="207"/>
      <c r="BR85" s="207"/>
      <c r="BS85" s="207"/>
      <c r="BT85" s="207"/>
      <c r="BU85" s="207"/>
      <c r="BV85" s="207"/>
      <c r="BW85" s="207"/>
      <c r="BX85" s="207"/>
    </row>
    <row r="86" spans="1:76" s="491" customFormat="1" ht="33" x14ac:dyDescent="0.25">
      <c r="A86" s="207"/>
      <c r="B86" s="492">
        <v>77</v>
      </c>
      <c r="C86" s="493" t="s">
        <v>534</v>
      </c>
      <c r="D86" s="494">
        <v>194</v>
      </c>
      <c r="E86" s="495">
        <f t="shared" si="5"/>
        <v>1530996.5996999999</v>
      </c>
      <c r="F86" s="496"/>
      <c r="G86" s="207"/>
      <c r="H86" s="207"/>
      <c r="I86" s="207"/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  <c r="BI86" s="207"/>
      <c r="BJ86" s="207"/>
      <c r="BK86" s="207"/>
      <c r="BL86" s="207"/>
      <c r="BM86" s="207"/>
      <c r="BN86" s="207"/>
      <c r="BO86" s="207"/>
      <c r="BP86" s="207"/>
      <c r="BQ86" s="207"/>
      <c r="BR86" s="207"/>
      <c r="BS86" s="207"/>
      <c r="BT86" s="207"/>
      <c r="BU86" s="207"/>
      <c r="BV86" s="207"/>
      <c r="BW86" s="207"/>
      <c r="BX86" s="207"/>
    </row>
    <row r="87" spans="1:76" s="491" customFormat="1" ht="33" x14ac:dyDescent="0.25">
      <c r="A87" s="207"/>
      <c r="B87" s="492">
        <v>78</v>
      </c>
      <c r="C87" s="493" t="s">
        <v>535</v>
      </c>
      <c r="D87" s="494">
        <v>303</v>
      </c>
      <c r="E87" s="495">
        <f t="shared" si="5"/>
        <v>2391195.72015</v>
      </c>
      <c r="F87" s="496"/>
      <c r="G87" s="207"/>
      <c r="H87" s="207"/>
      <c r="I87" s="207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  <c r="BI87" s="207"/>
      <c r="BJ87" s="207"/>
      <c r="BK87" s="207"/>
      <c r="BL87" s="207"/>
      <c r="BM87" s="207"/>
      <c r="BN87" s="207"/>
      <c r="BO87" s="207"/>
      <c r="BP87" s="207"/>
      <c r="BQ87" s="207"/>
      <c r="BR87" s="207"/>
      <c r="BS87" s="207"/>
      <c r="BT87" s="207"/>
      <c r="BU87" s="207"/>
      <c r="BV87" s="207"/>
      <c r="BW87" s="207"/>
      <c r="BX87" s="207"/>
    </row>
    <row r="88" spans="1:76" s="491" customFormat="1" ht="33" x14ac:dyDescent="0.25">
      <c r="A88" s="207"/>
      <c r="B88" s="502">
        <v>79</v>
      </c>
      <c r="C88" s="503" t="s">
        <v>536</v>
      </c>
      <c r="D88" s="504">
        <v>179</v>
      </c>
      <c r="E88" s="505">
        <f>D88*4.5/1000*1753718.9+0.02</f>
        <v>1412620.5939500001</v>
      </c>
      <c r="F88" s="506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207"/>
      <c r="BO88" s="207"/>
      <c r="BP88" s="207"/>
      <c r="BQ88" s="207"/>
      <c r="BR88" s="207"/>
      <c r="BS88" s="207"/>
      <c r="BT88" s="207"/>
      <c r="BU88" s="207"/>
      <c r="BV88" s="207"/>
      <c r="BW88" s="207"/>
      <c r="BX88" s="207"/>
    </row>
    <row r="89" spans="1:76" s="491" customFormat="1" ht="33" x14ac:dyDescent="0.25">
      <c r="A89" s="207"/>
      <c r="B89" s="492">
        <v>80</v>
      </c>
      <c r="C89" s="493" t="s">
        <v>537</v>
      </c>
      <c r="D89" s="494">
        <v>213</v>
      </c>
      <c r="E89" s="495">
        <f t="shared" si="5"/>
        <v>1680939.56565</v>
      </c>
      <c r="F89" s="496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  <c r="BI89" s="207"/>
      <c r="BJ89" s="207"/>
      <c r="BK89" s="207"/>
      <c r="BL89" s="207"/>
      <c r="BM89" s="207"/>
      <c r="BN89" s="207"/>
      <c r="BO89" s="207"/>
      <c r="BP89" s="207"/>
      <c r="BQ89" s="207"/>
      <c r="BR89" s="207"/>
      <c r="BS89" s="207"/>
      <c r="BT89" s="207"/>
      <c r="BU89" s="207"/>
      <c r="BV89" s="207"/>
      <c r="BW89" s="207"/>
      <c r="BX89" s="207"/>
    </row>
    <row r="90" spans="1:76" s="491" customFormat="1" ht="33" x14ac:dyDescent="0.25">
      <c r="A90" s="207"/>
      <c r="B90" s="492">
        <v>81</v>
      </c>
      <c r="C90" s="493" t="s">
        <v>538</v>
      </c>
      <c r="D90" s="494">
        <v>502</v>
      </c>
      <c r="E90" s="495">
        <f t="shared" si="5"/>
        <v>3961650.9950999995</v>
      </c>
      <c r="F90" s="496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7"/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  <c r="BI90" s="207"/>
      <c r="BJ90" s="207"/>
      <c r="BK90" s="207"/>
      <c r="BL90" s="207"/>
      <c r="BM90" s="207"/>
      <c r="BN90" s="207"/>
      <c r="BO90" s="207"/>
      <c r="BP90" s="207"/>
      <c r="BQ90" s="207"/>
      <c r="BR90" s="207"/>
      <c r="BS90" s="207"/>
      <c r="BT90" s="207"/>
      <c r="BU90" s="207"/>
      <c r="BV90" s="207"/>
      <c r="BW90" s="207"/>
      <c r="BX90" s="207"/>
    </row>
    <row r="91" spans="1:76" s="491" customFormat="1" ht="33" x14ac:dyDescent="0.25">
      <c r="A91" s="207"/>
      <c r="B91" s="492">
        <v>82</v>
      </c>
      <c r="C91" s="493" t="s">
        <v>539</v>
      </c>
      <c r="D91" s="494">
        <v>176</v>
      </c>
      <c r="E91" s="495">
        <f t="shared" si="5"/>
        <v>1388945.3688000001</v>
      </c>
      <c r="F91" s="496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  <c r="BI91" s="207"/>
      <c r="BJ91" s="207"/>
      <c r="BK91" s="207"/>
      <c r="BL91" s="207"/>
      <c r="BM91" s="207"/>
      <c r="BN91" s="207"/>
      <c r="BO91" s="207"/>
      <c r="BP91" s="207"/>
      <c r="BQ91" s="207"/>
      <c r="BR91" s="207"/>
      <c r="BS91" s="207"/>
      <c r="BT91" s="207"/>
      <c r="BU91" s="207"/>
      <c r="BV91" s="207"/>
      <c r="BW91" s="207"/>
      <c r="BX91" s="207"/>
    </row>
    <row r="92" spans="1:76" s="491" customFormat="1" ht="33" customHeight="1" x14ac:dyDescent="0.25">
      <c r="A92" s="207"/>
      <c r="B92" s="784">
        <v>83</v>
      </c>
      <c r="C92" s="782" t="s">
        <v>785</v>
      </c>
      <c r="D92" s="782">
        <v>1103</v>
      </c>
      <c r="E92" s="786">
        <f t="shared" si="5"/>
        <v>8704583.7601499986</v>
      </c>
      <c r="F92" s="784"/>
      <c r="G92" s="213"/>
      <c r="H92" s="207">
        <v>8704583.7601500005</v>
      </c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  <c r="BI92" s="207"/>
      <c r="BJ92" s="207"/>
      <c r="BK92" s="207"/>
      <c r="BL92" s="207"/>
      <c r="BM92" s="207"/>
      <c r="BN92" s="207"/>
      <c r="BO92" s="207"/>
      <c r="BP92" s="207"/>
      <c r="BQ92" s="207"/>
      <c r="BR92" s="207"/>
      <c r="BS92" s="207"/>
      <c r="BT92" s="207"/>
      <c r="BU92" s="207"/>
      <c r="BV92" s="207"/>
      <c r="BW92" s="207"/>
      <c r="BX92" s="207"/>
    </row>
    <row r="93" spans="1:76" s="491" customFormat="1" ht="33" customHeight="1" x14ac:dyDescent="0.25">
      <c r="A93" s="207"/>
      <c r="B93" s="785"/>
      <c r="C93" s="783"/>
      <c r="D93" s="783"/>
      <c r="E93" s="787"/>
      <c r="F93" s="785"/>
      <c r="G93" s="207"/>
      <c r="H93" s="207">
        <v>1103</v>
      </c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  <c r="BI93" s="207"/>
      <c r="BJ93" s="207"/>
      <c r="BK93" s="207"/>
      <c r="BL93" s="207"/>
      <c r="BM93" s="207"/>
      <c r="BN93" s="207"/>
      <c r="BO93" s="207"/>
      <c r="BP93" s="207"/>
      <c r="BQ93" s="207"/>
      <c r="BR93" s="207"/>
      <c r="BS93" s="207"/>
      <c r="BT93" s="207"/>
      <c r="BU93" s="207"/>
      <c r="BV93" s="207"/>
      <c r="BW93" s="207"/>
      <c r="BX93" s="207"/>
    </row>
    <row r="94" spans="1:76" s="491" customFormat="1" ht="33" x14ac:dyDescent="0.25">
      <c r="A94" s="207"/>
      <c r="B94" s="492">
        <v>85</v>
      </c>
      <c r="C94" s="493" t="s">
        <v>540</v>
      </c>
      <c r="D94" s="494">
        <v>474</v>
      </c>
      <c r="E94" s="495">
        <f t="shared" si="5"/>
        <v>3740682.4136999999</v>
      </c>
      <c r="F94" s="496"/>
      <c r="G94" s="207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  <c r="BI94" s="207"/>
      <c r="BJ94" s="207"/>
      <c r="BK94" s="207"/>
      <c r="BL94" s="207"/>
      <c r="BM94" s="207"/>
      <c r="BN94" s="207"/>
      <c r="BO94" s="207"/>
      <c r="BP94" s="207"/>
      <c r="BQ94" s="207"/>
      <c r="BR94" s="207"/>
      <c r="BS94" s="207"/>
      <c r="BT94" s="207"/>
      <c r="BU94" s="207"/>
      <c r="BV94" s="207"/>
      <c r="BW94" s="207"/>
      <c r="BX94" s="207"/>
    </row>
    <row r="95" spans="1:76" s="491" customFormat="1" ht="33" x14ac:dyDescent="0.25">
      <c r="A95" s="207"/>
      <c r="B95" s="492">
        <v>86</v>
      </c>
      <c r="C95" s="493" t="s">
        <v>541</v>
      </c>
      <c r="D95" s="494">
        <v>218</v>
      </c>
      <c r="E95" s="495">
        <f t="shared" si="5"/>
        <v>1720398.2408999999</v>
      </c>
      <c r="F95" s="496"/>
      <c r="G95" s="207"/>
      <c r="H95" s="207"/>
      <c r="I95" s="207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  <c r="BI95" s="207"/>
      <c r="BJ95" s="207"/>
      <c r="BK95" s="207"/>
      <c r="BL95" s="207"/>
      <c r="BM95" s="207"/>
      <c r="BN95" s="207"/>
      <c r="BO95" s="207"/>
      <c r="BP95" s="207"/>
      <c r="BQ95" s="207"/>
      <c r="BR95" s="207"/>
      <c r="BS95" s="207"/>
      <c r="BT95" s="207"/>
      <c r="BU95" s="207"/>
      <c r="BV95" s="207"/>
      <c r="BW95" s="207"/>
      <c r="BX95" s="207"/>
    </row>
    <row r="96" spans="1:76" s="491" customFormat="1" ht="33" x14ac:dyDescent="0.25">
      <c r="A96" s="207"/>
      <c r="B96" s="502">
        <v>87</v>
      </c>
      <c r="C96" s="503" t="s">
        <v>542</v>
      </c>
      <c r="D96" s="504">
        <v>696</v>
      </c>
      <c r="E96" s="505">
        <f>D96*4.5/1000*1753718.9+0.02</f>
        <v>5492647.6147999996</v>
      </c>
      <c r="F96" s="506"/>
      <c r="G96" s="207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  <c r="BI96" s="207"/>
      <c r="BJ96" s="207"/>
      <c r="BK96" s="207"/>
      <c r="BL96" s="207"/>
      <c r="BM96" s="207"/>
      <c r="BN96" s="207"/>
      <c r="BO96" s="207"/>
      <c r="BP96" s="207"/>
      <c r="BQ96" s="207"/>
      <c r="BR96" s="207"/>
      <c r="BS96" s="207"/>
      <c r="BT96" s="207"/>
      <c r="BU96" s="207"/>
      <c r="BV96" s="207"/>
      <c r="BW96" s="207"/>
      <c r="BX96" s="207"/>
    </row>
    <row r="97" spans="1:76" s="491" customFormat="1" ht="33" x14ac:dyDescent="0.25">
      <c r="A97" s="207"/>
      <c r="B97" s="492">
        <v>88</v>
      </c>
      <c r="C97" s="493" t="s">
        <v>543</v>
      </c>
      <c r="D97" s="494">
        <v>731</v>
      </c>
      <c r="E97" s="495">
        <f t="shared" si="5"/>
        <v>5768858.3215499995</v>
      </c>
      <c r="F97" s="496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  <c r="BI97" s="207"/>
      <c r="BJ97" s="207"/>
      <c r="BK97" s="207"/>
      <c r="BL97" s="207"/>
      <c r="BM97" s="207"/>
      <c r="BN97" s="207"/>
      <c r="BO97" s="207"/>
      <c r="BP97" s="207"/>
      <c r="BQ97" s="207"/>
      <c r="BR97" s="207"/>
      <c r="BS97" s="207"/>
      <c r="BT97" s="207"/>
      <c r="BU97" s="207"/>
      <c r="BV97" s="207"/>
      <c r="BW97" s="207"/>
      <c r="BX97" s="207"/>
    </row>
    <row r="98" spans="1:76" s="491" customFormat="1" ht="33" x14ac:dyDescent="0.25">
      <c r="A98" s="207"/>
      <c r="B98" s="492">
        <v>89</v>
      </c>
      <c r="C98" s="493" t="s">
        <v>544</v>
      </c>
      <c r="D98" s="494">
        <v>759</v>
      </c>
      <c r="E98" s="507">
        <f t="shared" si="5"/>
        <v>5989826.90295</v>
      </c>
      <c r="F98" s="496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  <c r="BI98" s="207"/>
      <c r="BJ98" s="207"/>
      <c r="BK98" s="207"/>
      <c r="BL98" s="207"/>
      <c r="BM98" s="207"/>
      <c r="BN98" s="207"/>
      <c r="BO98" s="207"/>
      <c r="BP98" s="207"/>
      <c r="BQ98" s="207"/>
      <c r="BR98" s="207"/>
      <c r="BS98" s="207"/>
      <c r="BT98" s="207"/>
      <c r="BU98" s="207"/>
      <c r="BV98" s="207"/>
      <c r="BW98" s="207"/>
      <c r="BX98" s="207"/>
    </row>
    <row r="99" spans="1:76" s="491" customFormat="1" ht="33" x14ac:dyDescent="0.25">
      <c r="A99" s="207"/>
      <c r="B99" s="492">
        <v>90</v>
      </c>
      <c r="C99" s="493" t="s">
        <v>545</v>
      </c>
      <c r="D99" s="494">
        <v>1500</v>
      </c>
      <c r="E99" s="507">
        <f t="shared" si="5"/>
        <v>11837602.574999999</v>
      </c>
      <c r="F99" s="496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  <c r="BI99" s="207"/>
      <c r="BJ99" s="207"/>
      <c r="BK99" s="207"/>
      <c r="BL99" s="207"/>
      <c r="BM99" s="207"/>
      <c r="BN99" s="207"/>
      <c r="BO99" s="207"/>
      <c r="BP99" s="207"/>
      <c r="BQ99" s="207"/>
      <c r="BR99" s="207"/>
      <c r="BS99" s="207"/>
      <c r="BT99" s="207"/>
      <c r="BU99" s="207"/>
      <c r="BV99" s="207"/>
      <c r="BW99" s="207"/>
      <c r="BX99" s="207"/>
    </row>
    <row r="100" spans="1:76" s="491" customFormat="1" ht="33" x14ac:dyDescent="0.25">
      <c r="A100" s="207"/>
      <c r="B100" s="492">
        <v>91</v>
      </c>
      <c r="C100" s="493" t="s">
        <v>546</v>
      </c>
      <c r="D100" s="494">
        <v>1200</v>
      </c>
      <c r="E100" s="507">
        <f t="shared" si="5"/>
        <v>9470082.0600000005</v>
      </c>
      <c r="F100" s="496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  <c r="BI100" s="207"/>
      <c r="BJ100" s="207"/>
      <c r="BK100" s="207"/>
      <c r="BL100" s="207"/>
      <c r="BM100" s="207"/>
      <c r="BN100" s="207"/>
      <c r="BO100" s="207"/>
      <c r="BP100" s="207"/>
      <c r="BQ100" s="207"/>
      <c r="BR100" s="207"/>
      <c r="BS100" s="207"/>
      <c r="BT100" s="207"/>
      <c r="BU100" s="207"/>
      <c r="BV100" s="207"/>
      <c r="BW100" s="207"/>
      <c r="BX100" s="207"/>
    </row>
    <row r="101" spans="1:76" s="491" customFormat="1" ht="33" x14ac:dyDescent="0.25">
      <c r="A101" s="207"/>
      <c r="B101" s="492">
        <v>92</v>
      </c>
      <c r="C101" s="493" t="s">
        <v>547</v>
      </c>
      <c r="D101" s="494">
        <v>1400</v>
      </c>
      <c r="E101" s="507">
        <f t="shared" si="5"/>
        <v>11048429.069999998</v>
      </c>
      <c r="F101" s="496"/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  <c r="BI101" s="207"/>
      <c r="BJ101" s="207"/>
      <c r="BK101" s="207"/>
      <c r="BL101" s="207"/>
      <c r="BM101" s="207"/>
      <c r="BN101" s="207"/>
      <c r="BO101" s="207"/>
      <c r="BP101" s="207"/>
      <c r="BQ101" s="207"/>
      <c r="BR101" s="207"/>
      <c r="BS101" s="207"/>
      <c r="BT101" s="207"/>
      <c r="BU101" s="207"/>
      <c r="BV101" s="207"/>
      <c r="BW101" s="207"/>
      <c r="BX101" s="207"/>
    </row>
    <row r="102" spans="1:76" s="491" customFormat="1" ht="33" x14ac:dyDescent="0.25">
      <c r="A102" s="207"/>
      <c r="B102" s="502">
        <v>93</v>
      </c>
      <c r="C102" s="503" t="s">
        <v>548</v>
      </c>
      <c r="D102" s="504">
        <v>811</v>
      </c>
      <c r="E102" s="508">
        <f>D102*4.5/1000*1753718.9-0.02</f>
        <v>6400197.1055500004</v>
      </c>
      <c r="F102" s="496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7"/>
      <c r="BS102" s="207"/>
      <c r="BT102" s="207"/>
      <c r="BU102" s="207"/>
      <c r="BV102" s="207"/>
      <c r="BW102" s="207"/>
      <c r="BX102" s="207"/>
    </row>
    <row r="103" spans="1:76" s="491" customFormat="1" ht="33" x14ac:dyDescent="0.25">
      <c r="A103" s="207"/>
      <c r="B103" s="492">
        <v>94</v>
      </c>
      <c r="C103" s="493" t="s">
        <v>549</v>
      </c>
      <c r="D103" s="494">
        <v>1100</v>
      </c>
      <c r="E103" s="507">
        <f t="shared" si="5"/>
        <v>8680908.5549999997</v>
      </c>
      <c r="F103" s="496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  <c r="BI103" s="207"/>
      <c r="BJ103" s="207"/>
      <c r="BK103" s="207"/>
      <c r="BL103" s="207"/>
      <c r="BM103" s="207"/>
      <c r="BN103" s="207"/>
      <c r="BO103" s="207"/>
      <c r="BP103" s="207"/>
      <c r="BQ103" s="207"/>
      <c r="BR103" s="207"/>
      <c r="BS103" s="207"/>
      <c r="BT103" s="207"/>
      <c r="BU103" s="207"/>
      <c r="BV103" s="207"/>
      <c r="BW103" s="207"/>
      <c r="BX103" s="207"/>
    </row>
    <row r="104" spans="1:76" s="491" customFormat="1" ht="33" x14ac:dyDescent="0.25">
      <c r="A104" s="207"/>
      <c r="B104" s="492">
        <v>95</v>
      </c>
      <c r="C104" s="493" t="s">
        <v>715</v>
      </c>
      <c r="D104" s="494">
        <v>1500</v>
      </c>
      <c r="E104" s="507">
        <f>D104*4.5/1000*1753718.9*1.5</f>
        <v>17756403.862499997</v>
      </c>
      <c r="F104" s="496"/>
      <c r="G104" s="207"/>
      <c r="H104" s="207"/>
      <c r="I104" s="207"/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  <c r="BI104" s="207"/>
      <c r="BJ104" s="207"/>
      <c r="BK104" s="207"/>
      <c r="BL104" s="207"/>
      <c r="BM104" s="207"/>
      <c r="BN104" s="207"/>
      <c r="BO104" s="207"/>
      <c r="BP104" s="207"/>
      <c r="BQ104" s="207"/>
      <c r="BR104" s="207"/>
      <c r="BS104" s="207"/>
      <c r="BT104" s="207"/>
      <c r="BU104" s="207"/>
      <c r="BV104" s="207"/>
      <c r="BW104" s="207"/>
      <c r="BX104" s="207"/>
    </row>
    <row r="105" spans="1:76" s="491" customFormat="1" ht="33" x14ac:dyDescent="0.25">
      <c r="A105" s="207"/>
      <c r="B105" s="492">
        <v>96</v>
      </c>
      <c r="C105" s="493" t="s">
        <v>550</v>
      </c>
      <c r="D105" s="494">
        <v>1400</v>
      </c>
      <c r="E105" s="507">
        <f>D105*4.5/1000*1753718.9*1.5</f>
        <v>16572643.604999997</v>
      </c>
      <c r="F105" s="496"/>
      <c r="G105" s="207"/>
      <c r="H105" s="207"/>
      <c r="I105" s="207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  <c r="BI105" s="207"/>
      <c r="BJ105" s="207"/>
      <c r="BK105" s="207"/>
      <c r="BL105" s="207"/>
      <c r="BM105" s="207"/>
      <c r="BN105" s="207"/>
      <c r="BO105" s="207"/>
      <c r="BP105" s="207"/>
      <c r="BQ105" s="207"/>
      <c r="BR105" s="207"/>
      <c r="BS105" s="207"/>
      <c r="BT105" s="207"/>
      <c r="BU105" s="207"/>
      <c r="BV105" s="207"/>
      <c r="BW105" s="207"/>
      <c r="BX105" s="207"/>
    </row>
    <row r="106" spans="1:76" s="491" customFormat="1" ht="33" x14ac:dyDescent="0.25">
      <c r="A106" s="207"/>
      <c r="B106" s="492">
        <v>97</v>
      </c>
      <c r="C106" s="493" t="s">
        <v>551</v>
      </c>
      <c r="D106" s="494">
        <v>1500</v>
      </c>
      <c r="E106" s="507">
        <f>D106*4.5/1000*1753718.9*1</f>
        <v>11837602.574999999</v>
      </c>
      <c r="F106" s="496"/>
      <c r="G106" s="207"/>
      <c r="H106" s="207"/>
      <c r="I106" s="207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  <c r="BI106" s="207"/>
      <c r="BJ106" s="207"/>
      <c r="BK106" s="207"/>
      <c r="BL106" s="207"/>
      <c r="BM106" s="207"/>
      <c r="BN106" s="207"/>
      <c r="BO106" s="207"/>
      <c r="BP106" s="207"/>
      <c r="BQ106" s="207"/>
      <c r="BR106" s="207"/>
      <c r="BS106" s="207"/>
      <c r="BT106" s="207"/>
      <c r="BU106" s="207"/>
      <c r="BV106" s="207"/>
      <c r="BW106" s="207"/>
      <c r="BX106" s="207"/>
    </row>
    <row r="107" spans="1:76" s="491" customFormat="1" ht="33" x14ac:dyDescent="0.25">
      <c r="A107" s="207"/>
      <c r="B107" s="492">
        <v>98</v>
      </c>
      <c r="C107" s="493" t="s">
        <v>552</v>
      </c>
      <c r="D107" s="494">
        <v>1100</v>
      </c>
      <c r="E107" s="507">
        <f>D107*4.5/1000*1753718.9*1</f>
        <v>8680908.5549999997</v>
      </c>
      <c r="F107" s="496"/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  <c r="BI107" s="207"/>
      <c r="BJ107" s="207"/>
      <c r="BK107" s="207"/>
      <c r="BL107" s="207"/>
      <c r="BM107" s="207"/>
      <c r="BN107" s="207"/>
      <c r="BO107" s="207"/>
      <c r="BP107" s="207"/>
      <c r="BQ107" s="207"/>
      <c r="BR107" s="207"/>
      <c r="BS107" s="207"/>
      <c r="BT107" s="207"/>
      <c r="BU107" s="207"/>
      <c r="BV107" s="207"/>
      <c r="BW107" s="207"/>
      <c r="BX107" s="207"/>
    </row>
    <row r="108" spans="1:76" s="491" customFormat="1" ht="33" x14ac:dyDescent="0.25">
      <c r="A108" s="207"/>
      <c r="B108" s="492">
        <v>99</v>
      </c>
      <c r="C108" s="493" t="s">
        <v>553</v>
      </c>
      <c r="D108" s="494">
        <v>531</v>
      </c>
      <c r="E108" s="507">
        <f>D108*4.5/1000*1753718.9*1.5</f>
        <v>6285766.9673250001</v>
      </c>
      <c r="F108" s="496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  <c r="BI108" s="207"/>
      <c r="BJ108" s="207"/>
      <c r="BK108" s="207"/>
      <c r="BL108" s="207"/>
      <c r="BM108" s="207"/>
      <c r="BN108" s="207"/>
      <c r="BO108" s="207"/>
      <c r="BP108" s="207"/>
      <c r="BQ108" s="207"/>
      <c r="BR108" s="207"/>
      <c r="BS108" s="207"/>
      <c r="BT108" s="207"/>
      <c r="BU108" s="207"/>
      <c r="BV108" s="207"/>
      <c r="BW108" s="207"/>
      <c r="BX108" s="207"/>
    </row>
    <row r="109" spans="1:76" s="491" customFormat="1" ht="33" x14ac:dyDescent="0.25">
      <c r="A109" s="207"/>
      <c r="B109" s="492">
        <v>100</v>
      </c>
      <c r="C109" s="493" t="s">
        <v>554</v>
      </c>
      <c r="D109" s="494">
        <v>1400</v>
      </c>
      <c r="E109" s="507">
        <f>D109*4.5/1000*1753718.9*1.5</f>
        <v>16572643.604999997</v>
      </c>
      <c r="F109" s="496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  <c r="BI109" s="207"/>
      <c r="BJ109" s="207"/>
      <c r="BK109" s="207"/>
      <c r="BL109" s="207"/>
      <c r="BM109" s="207"/>
      <c r="BN109" s="207"/>
      <c r="BO109" s="207"/>
      <c r="BP109" s="207"/>
      <c r="BQ109" s="207"/>
      <c r="BR109" s="207"/>
      <c r="BS109" s="207"/>
      <c r="BT109" s="207"/>
      <c r="BU109" s="207"/>
      <c r="BV109" s="207"/>
      <c r="BW109" s="207"/>
      <c r="BX109" s="207"/>
    </row>
    <row r="110" spans="1:76" s="491" customFormat="1" ht="33" x14ac:dyDescent="0.25">
      <c r="A110" s="207"/>
      <c r="B110" s="492">
        <v>101</v>
      </c>
      <c r="C110" s="493" t="s">
        <v>555</v>
      </c>
      <c r="D110" s="494">
        <v>358</v>
      </c>
      <c r="E110" s="507">
        <f t="shared" ref="E110:E116" si="6">D110*4.5/1000*1753718.9*1</f>
        <v>2825241.1478999997</v>
      </c>
      <c r="F110" s="496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  <c r="BI110" s="207"/>
      <c r="BJ110" s="207"/>
      <c r="BK110" s="207"/>
      <c r="BL110" s="207"/>
      <c r="BM110" s="207"/>
      <c r="BN110" s="207"/>
      <c r="BO110" s="207"/>
      <c r="BP110" s="207"/>
      <c r="BQ110" s="207"/>
      <c r="BR110" s="207"/>
      <c r="BS110" s="207"/>
      <c r="BT110" s="207"/>
      <c r="BU110" s="207"/>
      <c r="BV110" s="207"/>
      <c r="BW110" s="207"/>
      <c r="BX110" s="207"/>
    </row>
    <row r="111" spans="1:76" s="491" customFormat="1" ht="33" x14ac:dyDescent="0.25">
      <c r="A111" s="207"/>
      <c r="B111" s="492">
        <v>102</v>
      </c>
      <c r="C111" s="493" t="s">
        <v>556</v>
      </c>
      <c r="D111" s="494">
        <v>366</v>
      </c>
      <c r="E111" s="507">
        <f t="shared" si="6"/>
        <v>2888375.0282999999</v>
      </c>
      <c r="F111" s="496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  <c r="BI111" s="207"/>
      <c r="BJ111" s="207"/>
      <c r="BK111" s="207"/>
      <c r="BL111" s="207"/>
      <c r="BM111" s="207"/>
      <c r="BN111" s="207"/>
      <c r="BO111" s="207"/>
      <c r="BP111" s="207"/>
      <c r="BQ111" s="207"/>
      <c r="BR111" s="207"/>
      <c r="BS111" s="207"/>
      <c r="BT111" s="207"/>
      <c r="BU111" s="207"/>
      <c r="BV111" s="207"/>
      <c r="BW111" s="207"/>
      <c r="BX111" s="207"/>
    </row>
    <row r="112" spans="1:76" s="491" customFormat="1" ht="33" x14ac:dyDescent="0.25">
      <c r="A112" s="207"/>
      <c r="B112" s="492">
        <v>103</v>
      </c>
      <c r="C112" s="493" t="s">
        <v>557</v>
      </c>
      <c r="D112" s="494">
        <v>370</v>
      </c>
      <c r="E112" s="507">
        <f t="shared" si="6"/>
        <v>2919941.9685</v>
      </c>
      <c r="F112" s="496"/>
      <c r="G112" s="207"/>
      <c r="H112" s="207"/>
      <c r="I112" s="207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  <c r="BI112" s="207"/>
      <c r="BJ112" s="207"/>
      <c r="BK112" s="207"/>
      <c r="BL112" s="207"/>
      <c r="BM112" s="207"/>
      <c r="BN112" s="207"/>
      <c r="BO112" s="207"/>
      <c r="BP112" s="207"/>
      <c r="BQ112" s="207"/>
      <c r="BR112" s="207"/>
      <c r="BS112" s="207"/>
      <c r="BT112" s="207"/>
      <c r="BU112" s="207"/>
      <c r="BV112" s="207"/>
      <c r="BW112" s="207"/>
      <c r="BX112" s="207"/>
    </row>
    <row r="113" spans="1:76" s="491" customFormat="1" ht="33" x14ac:dyDescent="0.25">
      <c r="A113" s="207"/>
      <c r="B113" s="492">
        <v>104</v>
      </c>
      <c r="C113" s="493" t="s">
        <v>558</v>
      </c>
      <c r="D113" s="494">
        <v>461</v>
      </c>
      <c r="E113" s="507">
        <f t="shared" si="6"/>
        <v>3638089.8580499999</v>
      </c>
      <c r="F113" s="496"/>
      <c r="G113" s="207"/>
      <c r="H113" s="207"/>
      <c r="I113" s="207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  <c r="BI113" s="207"/>
      <c r="BJ113" s="207"/>
      <c r="BK113" s="207"/>
      <c r="BL113" s="207"/>
      <c r="BM113" s="207"/>
      <c r="BN113" s="207"/>
      <c r="BO113" s="207"/>
      <c r="BP113" s="207"/>
      <c r="BQ113" s="207"/>
      <c r="BR113" s="207"/>
      <c r="BS113" s="207"/>
      <c r="BT113" s="207"/>
      <c r="BU113" s="207"/>
      <c r="BV113" s="207"/>
      <c r="BW113" s="207"/>
      <c r="BX113" s="207"/>
    </row>
    <row r="114" spans="1:76" s="491" customFormat="1" ht="33" x14ac:dyDescent="0.25">
      <c r="A114" s="207"/>
      <c r="B114" s="502">
        <v>105</v>
      </c>
      <c r="C114" s="503" t="s">
        <v>559</v>
      </c>
      <c r="D114" s="504">
        <v>288</v>
      </c>
      <c r="E114" s="508">
        <f>D114*4.5/1000*1753718.9*1+0.02</f>
        <v>2272819.7143999999</v>
      </c>
      <c r="F114" s="506"/>
      <c r="G114" s="207"/>
      <c r="H114" s="207"/>
      <c r="I114" s="207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  <c r="BI114" s="207"/>
      <c r="BJ114" s="207"/>
      <c r="BK114" s="207"/>
      <c r="BL114" s="207"/>
      <c r="BM114" s="207"/>
      <c r="BN114" s="207"/>
      <c r="BO114" s="207"/>
      <c r="BP114" s="207"/>
      <c r="BQ114" s="207"/>
      <c r="BR114" s="207"/>
      <c r="BS114" s="207"/>
      <c r="BT114" s="207"/>
      <c r="BU114" s="207"/>
      <c r="BV114" s="207"/>
      <c r="BW114" s="207"/>
      <c r="BX114" s="207"/>
    </row>
    <row r="115" spans="1:76" s="491" customFormat="1" ht="33" x14ac:dyDescent="0.25">
      <c r="A115" s="207"/>
      <c r="B115" s="492">
        <v>106</v>
      </c>
      <c r="C115" s="493" t="s">
        <v>560</v>
      </c>
      <c r="D115" s="494">
        <v>343</v>
      </c>
      <c r="E115" s="507">
        <f t="shared" si="6"/>
        <v>2706865.1221500002</v>
      </c>
      <c r="F115" s="496"/>
      <c r="G115" s="207"/>
      <c r="H115" s="207"/>
      <c r="I115" s="207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  <c r="BI115" s="207"/>
      <c r="BJ115" s="207"/>
      <c r="BK115" s="207"/>
      <c r="BL115" s="207"/>
      <c r="BM115" s="207"/>
      <c r="BN115" s="207"/>
      <c r="BO115" s="207"/>
      <c r="BP115" s="207"/>
      <c r="BQ115" s="207"/>
      <c r="BR115" s="207"/>
      <c r="BS115" s="207"/>
      <c r="BT115" s="207"/>
      <c r="BU115" s="207"/>
      <c r="BV115" s="207"/>
      <c r="BW115" s="207"/>
      <c r="BX115" s="207"/>
    </row>
    <row r="116" spans="1:76" s="491" customFormat="1" ht="33" x14ac:dyDescent="0.25">
      <c r="A116" s="207"/>
      <c r="B116" s="492">
        <v>107</v>
      </c>
      <c r="C116" s="493" t="s">
        <v>561</v>
      </c>
      <c r="D116" s="494">
        <v>830</v>
      </c>
      <c r="E116" s="507">
        <f t="shared" si="6"/>
        <v>6550140.0914999992</v>
      </c>
      <c r="F116" s="496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  <c r="BI116" s="207"/>
      <c r="BJ116" s="207"/>
      <c r="BK116" s="207"/>
      <c r="BL116" s="207"/>
      <c r="BM116" s="207"/>
      <c r="BN116" s="207"/>
      <c r="BO116" s="207"/>
      <c r="BP116" s="207"/>
      <c r="BQ116" s="207"/>
      <c r="BR116" s="207"/>
      <c r="BS116" s="207"/>
      <c r="BT116" s="207"/>
      <c r="BU116" s="207"/>
      <c r="BV116" s="207"/>
      <c r="BW116" s="207"/>
      <c r="BX116" s="207"/>
    </row>
    <row r="117" spans="1:76" s="491" customFormat="1" ht="33" x14ac:dyDescent="0.25">
      <c r="A117" s="207"/>
      <c r="B117" s="502">
        <v>108</v>
      </c>
      <c r="C117" s="503" t="s">
        <v>562</v>
      </c>
      <c r="D117" s="504">
        <v>828</v>
      </c>
      <c r="E117" s="508">
        <f>D117*4.5/1000*1753718.9+0.02</f>
        <v>6534356.6413999991</v>
      </c>
      <c r="F117" s="506"/>
      <c r="G117" s="207"/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  <c r="BI117" s="207"/>
      <c r="BJ117" s="207"/>
      <c r="BK117" s="207"/>
      <c r="BL117" s="207"/>
      <c r="BM117" s="207"/>
      <c r="BN117" s="207"/>
      <c r="BO117" s="207"/>
      <c r="BP117" s="207"/>
      <c r="BQ117" s="207"/>
      <c r="BR117" s="207"/>
      <c r="BS117" s="207"/>
      <c r="BT117" s="207"/>
      <c r="BU117" s="207"/>
      <c r="BV117" s="207"/>
      <c r="BW117" s="207"/>
      <c r="BX117" s="207"/>
    </row>
    <row r="118" spans="1:76" s="491" customFormat="1" ht="33" x14ac:dyDescent="0.25">
      <c r="A118" s="207"/>
      <c r="B118" s="492">
        <v>109</v>
      </c>
      <c r="C118" s="493" t="s">
        <v>563</v>
      </c>
      <c r="D118" s="494">
        <v>1100</v>
      </c>
      <c r="E118" s="507">
        <f t="shared" ref="E118:E125" si="7">D118*4.5/1000*1753718.9</f>
        <v>8680908.5549999997</v>
      </c>
      <c r="F118" s="496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  <c r="BI118" s="207"/>
      <c r="BJ118" s="207"/>
      <c r="BK118" s="207"/>
      <c r="BL118" s="207"/>
      <c r="BM118" s="207"/>
      <c r="BN118" s="207"/>
      <c r="BO118" s="207"/>
      <c r="BP118" s="207"/>
      <c r="BQ118" s="207"/>
      <c r="BR118" s="207"/>
      <c r="BS118" s="207"/>
      <c r="BT118" s="207"/>
      <c r="BU118" s="207"/>
      <c r="BV118" s="207"/>
      <c r="BW118" s="207"/>
      <c r="BX118" s="207"/>
    </row>
    <row r="119" spans="1:76" s="491" customFormat="1" ht="33" x14ac:dyDescent="0.25">
      <c r="A119" s="207"/>
      <c r="B119" s="492">
        <v>110</v>
      </c>
      <c r="C119" s="493" t="s">
        <v>564</v>
      </c>
      <c r="D119" s="494">
        <v>826</v>
      </c>
      <c r="E119" s="507">
        <f t="shared" si="7"/>
        <v>6518573.1513</v>
      </c>
      <c r="F119" s="496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  <c r="BI119" s="207"/>
      <c r="BJ119" s="207"/>
      <c r="BK119" s="207"/>
      <c r="BL119" s="207"/>
      <c r="BM119" s="207"/>
      <c r="BN119" s="207"/>
      <c r="BO119" s="207"/>
      <c r="BP119" s="207"/>
      <c r="BQ119" s="207"/>
      <c r="BR119" s="207"/>
      <c r="BS119" s="207"/>
      <c r="BT119" s="207"/>
      <c r="BU119" s="207"/>
      <c r="BV119" s="207"/>
      <c r="BW119" s="207"/>
      <c r="BX119" s="207"/>
    </row>
    <row r="120" spans="1:76" s="491" customFormat="1" ht="33" x14ac:dyDescent="0.25">
      <c r="A120" s="207"/>
      <c r="B120" s="502">
        <v>111</v>
      </c>
      <c r="C120" s="503" t="s">
        <v>565</v>
      </c>
      <c r="D120" s="504">
        <v>655</v>
      </c>
      <c r="E120" s="508">
        <f>D120*4.5/1000*1753718.9-0.02</f>
        <v>5169086.4377500005</v>
      </c>
      <c r="F120" s="506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  <c r="BI120" s="207"/>
      <c r="BJ120" s="207"/>
      <c r="BK120" s="207"/>
      <c r="BL120" s="207"/>
      <c r="BM120" s="207"/>
      <c r="BN120" s="207"/>
      <c r="BO120" s="207"/>
      <c r="BP120" s="207"/>
      <c r="BQ120" s="207"/>
      <c r="BR120" s="207"/>
      <c r="BS120" s="207"/>
      <c r="BT120" s="207"/>
      <c r="BU120" s="207"/>
      <c r="BV120" s="207"/>
      <c r="BW120" s="207"/>
      <c r="BX120" s="207"/>
    </row>
    <row r="121" spans="1:76" s="491" customFormat="1" ht="33" x14ac:dyDescent="0.25">
      <c r="A121" s="207"/>
      <c r="B121" s="492">
        <v>112</v>
      </c>
      <c r="C121" s="509" t="s">
        <v>734</v>
      </c>
      <c r="D121" s="510">
        <v>853</v>
      </c>
      <c r="E121" s="511">
        <f t="shared" si="7"/>
        <v>6731649.9976499993</v>
      </c>
      <c r="F121" s="496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  <c r="BI121" s="207"/>
      <c r="BJ121" s="207"/>
      <c r="BK121" s="207"/>
      <c r="BL121" s="207"/>
      <c r="BM121" s="207"/>
      <c r="BN121" s="207"/>
      <c r="BO121" s="207"/>
      <c r="BP121" s="207"/>
      <c r="BQ121" s="207"/>
      <c r="BR121" s="207"/>
      <c r="BS121" s="207"/>
      <c r="BT121" s="207"/>
      <c r="BU121" s="207"/>
      <c r="BV121" s="207"/>
      <c r="BW121" s="207"/>
      <c r="BX121" s="207"/>
    </row>
    <row r="122" spans="1:76" s="491" customFormat="1" ht="33" x14ac:dyDescent="0.25">
      <c r="A122" s="207"/>
      <c r="B122" s="492">
        <v>113</v>
      </c>
      <c r="C122" s="493" t="s">
        <v>567</v>
      </c>
      <c r="D122" s="494">
        <v>325</v>
      </c>
      <c r="E122" s="507">
        <f t="shared" si="7"/>
        <v>2564813.8912499999</v>
      </c>
      <c r="F122" s="496"/>
      <c r="G122" s="207"/>
      <c r="H122" s="207"/>
      <c r="I122" s="207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  <c r="BI122" s="207"/>
      <c r="BJ122" s="207"/>
      <c r="BK122" s="207"/>
      <c r="BL122" s="207"/>
      <c r="BM122" s="207"/>
      <c r="BN122" s="207"/>
      <c r="BO122" s="207"/>
      <c r="BP122" s="207"/>
      <c r="BQ122" s="207"/>
      <c r="BR122" s="207"/>
      <c r="BS122" s="207"/>
      <c r="BT122" s="207"/>
      <c r="BU122" s="207"/>
      <c r="BV122" s="207"/>
      <c r="BW122" s="207"/>
      <c r="BX122" s="207"/>
    </row>
    <row r="123" spans="1:76" s="491" customFormat="1" ht="33" x14ac:dyDescent="0.25">
      <c r="A123" s="207"/>
      <c r="B123" s="492">
        <v>114</v>
      </c>
      <c r="C123" s="493" t="s">
        <v>609</v>
      </c>
      <c r="D123" s="494">
        <v>107</v>
      </c>
      <c r="E123" s="495">
        <f t="shared" si="7"/>
        <v>844415.65034999989</v>
      </c>
      <c r="F123" s="496"/>
      <c r="G123" s="207"/>
      <c r="H123" s="207"/>
      <c r="I123" s="207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  <c r="BI123" s="207"/>
      <c r="BJ123" s="207"/>
      <c r="BK123" s="207"/>
      <c r="BL123" s="207"/>
      <c r="BM123" s="207"/>
      <c r="BN123" s="207"/>
      <c r="BO123" s="207"/>
      <c r="BP123" s="207"/>
      <c r="BQ123" s="207"/>
      <c r="BR123" s="207"/>
      <c r="BS123" s="207"/>
      <c r="BT123" s="207"/>
      <c r="BU123" s="207"/>
      <c r="BV123" s="207"/>
      <c r="BW123" s="207"/>
      <c r="BX123" s="207"/>
    </row>
    <row r="124" spans="1:76" s="491" customFormat="1" ht="33" x14ac:dyDescent="0.25">
      <c r="A124" s="207"/>
      <c r="B124" s="502">
        <v>115</v>
      </c>
      <c r="C124" s="503" t="s">
        <v>568</v>
      </c>
      <c r="D124" s="504">
        <v>221</v>
      </c>
      <c r="E124" s="508">
        <f>D124*4.5/1000*1753718.9</f>
        <v>1744073.4460499999</v>
      </c>
      <c r="F124" s="506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  <c r="BI124" s="207"/>
      <c r="BJ124" s="207"/>
      <c r="BK124" s="207"/>
      <c r="BL124" s="207"/>
      <c r="BM124" s="207"/>
      <c r="BN124" s="207"/>
      <c r="BO124" s="207"/>
      <c r="BP124" s="207"/>
      <c r="BQ124" s="207"/>
      <c r="BR124" s="207"/>
      <c r="BS124" s="207"/>
      <c r="BT124" s="207"/>
      <c r="BU124" s="207"/>
      <c r="BV124" s="207"/>
      <c r="BW124" s="207"/>
      <c r="BX124" s="207"/>
    </row>
    <row r="125" spans="1:76" s="491" customFormat="1" ht="33" x14ac:dyDescent="0.25">
      <c r="A125" s="207"/>
      <c r="B125" s="492">
        <v>116</v>
      </c>
      <c r="C125" s="509" t="s">
        <v>569</v>
      </c>
      <c r="D125" s="510">
        <v>220</v>
      </c>
      <c r="E125" s="507">
        <f t="shared" si="7"/>
        <v>1736181.7109999999</v>
      </c>
      <c r="F125" s="496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  <c r="BI125" s="207"/>
      <c r="BJ125" s="207"/>
      <c r="BK125" s="207"/>
      <c r="BL125" s="207"/>
      <c r="BM125" s="207"/>
      <c r="BN125" s="207"/>
      <c r="BO125" s="207"/>
      <c r="BP125" s="207"/>
      <c r="BQ125" s="207"/>
      <c r="BR125" s="207"/>
      <c r="BS125" s="207"/>
      <c r="BT125" s="207"/>
      <c r="BU125" s="207"/>
      <c r="BV125" s="207"/>
      <c r="BW125" s="207"/>
      <c r="BX125" s="207"/>
    </row>
    <row r="126" spans="1:76" s="491" customFormat="1" ht="33" x14ac:dyDescent="0.25">
      <c r="A126" s="207"/>
      <c r="B126" s="502">
        <v>117</v>
      </c>
      <c r="C126" s="503" t="s">
        <v>570</v>
      </c>
      <c r="D126" s="504">
        <v>120</v>
      </c>
      <c r="E126" s="508">
        <f>D126*4.5/1000*1753718.9-0.01</f>
        <v>947008.196</v>
      </c>
      <c r="F126" s="506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  <c r="BI126" s="207"/>
      <c r="BJ126" s="207"/>
      <c r="BK126" s="207"/>
      <c r="BL126" s="207"/>
      <c r="BM126" s="207"/>
      <c r="BN126" s="207"/>
      <c r="BO126" s="207"/>
      <c r="BP126" s="207"/>
      <c r="BQ126" s="207"/>
      <c r="BR126" s="207"/>
      <c r="BS126" s="207"/>
      <c r="BT126" s="207"/>
      <c r="BU126" s="207"/>
      <c r="BV126" s="207"/>
      <c r="BW126" s="207"/>
      <c r="BX126" s="207"/>
    </row>
    <row r="127" spans="1:76" s="491" customFormat="1" ht="33" x14ac:dyDescent="0.25">
      <c r="A127" s="207"/>
      <c r="B127" s="492">
        <v>118</v>
      </c>
      <c r="C127" s="493" t="s">
        <v>572</v>
      </c>
      <c r="D127" s="494">
        <v>475</v>
      </c>
      <c r="E127" s="507">
        <f>D127*4.5/1000*1753718.9</f>
        <v>3748574.1487500002</v>
      </c>
      <c r="F127" s="496"/>
      <c r="G127" s="207"/>
      <c r="H127" s="207"/>
      <c r="I127" s="207"/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  <c r="BI127" s="207"/>
      <c r="BJ127" s="207"/>
      <c r="BK127" s="207"/>
      <c r="BL127" s="207"/>
      <c r="BM127" s="207"/>
      <c r="BN127" s="207"/>
      <c r="BO127" s="207"/>
      <c r="BP127" s="207"/>
      <c r="BQ127" s="207"/>
      <c r="BR127" s="207"/>
      <c r="BS127" s="207"/>
      <c r="BT127" s="207"/>
      <c r="BU127" s="207"/>
      <c r="BV127" s="207"/>
      <c r="BW127" s="207"/>
      <c r="BX127" s="207"/>
    </row>
    <row r="128" spans="1:76" s="491" customFormat="1" ht="33" x14ac:dyDescent="0.25">
      <c r="A128" s="207"/>
      <c r="B128" s="492">
        <v>119</v>
      </c>
      <c r="C128" s="493" t="s">
        <v>573</v>
      </c>
      <c r="D128" s="494">
        <v>289</v>
      </c>
      <c r="E128" s="507">
        <f>D128*4.5/1000*1753718.9</f>
        <v>2280711.4294499997</v>
      </c>
      <c r="F128" s="496"/>
      <c r="G128" s="207"/>
      <c r="H128" s="207"/>
      <c r="I128" s="207"/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  <c r="BI128" s="207"/>
      <c r="BJ128" s="207"/>
      <c r="BK128" s="207"/>
      <c r="BL128" s="207"/>
      <c r="BM128" s="207"/>
      <c r="BN128" s="207"/>
      <c r="BO128" s="207"/>
      <c r="BP128" s="207"/>
      <c r="BQ128" s="207"/>
      <c r="BR128" s="207"/>
      <c r="BS128" s="207"/>
      <c r="BT128" s="207"/>
      <c r="BU128" s="207"/>
      <c r="BV128" s="207"/>
      <c r="BW128" s="207"/>
      <c r="BX128" s="207"/>
    </row>
    <row r="129" spans="1:76" s="491" customFormat="1" ht="33" x14ac:dyDescent="0.25">
      <c r="A129" s="207"/>
      <c r="B129" s="492">
        <v>120</v>
      </c>
      <c r="C129" s="493" t="s">
        <v>574</v>
      </c>
      <c r="D129" s="494">
        <v>253</v>
      </c>
      <c r="E129" s="507">
        <f>D129*4.5/1000*1753718.9</f>
        <v>1996608.96765</v>
      </c>
      <c r="F129" s="496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  <c r="BI129" s="207"/>
      <c r="BJ129" s="207"/>
      <c r="BK129" s="207"/>
      <c r="BL129" s="207"/>
      <c r="BM129" s="207"/>
      <c r="BN129" s="207"/>
      <c r="BO129" s="207"/>
      <c r="BP129" s="207"/>
      <c r="BQ129" s="207"/>
      <c r="BR129" s="207"/>
      <c r="BS129" s="207"/>
      <c r="BT129" s="207"/>
      <c r="BU129" s="207"/>
      <c r="BV129" s="207"/>
      <c r="BW129" s="207"/>
      <c r="BX129" s="207"/>
    </row>
    <row r="130" spans="1:76" s="491" customFormat="1" ht="33" x14ac:dyDescent="0.25">
      <c r="A130" s="207"/>
      <c r="B130" s="492">
        <v>121</v>
      </c>
      <c r="C130" s="493" t="s">
        <v>575</v>
      </c>
      <c r="D130" s="494">
        <v>206</v>
      </c>
      <c r="E130" s="507">
        <f>D130*4.5/1000*1753718.9</f>
        <v>1625697.4202999999</v>
      </c>
      <c r="F130" s="496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  <c r="BI130" s="207"/>
      <c r="BJ130" s="207"/>
      <c r="BK130" s="207"/>
      <c r="BL130" s="207"/>
      <c r="BM130" s="207"/>
      <c r="BN130" s="207"/>
      <c r="BO130" s="207"/>
      <c r="BP130" s="207"/>
      <c r="BQ130" s="207"/>
      <c r="BR130" s="207"/>
      <c r="BS130" s="207"/>
      <c r="BT130" s="207"/>
      <c r="BU130" s="207"/>
      <c r="BV130" s="207"/>
      <c r="BW130" s="207"/>
      <c r="BX130" s="207"/>
    </row>
    <row r="131" spans="1:76" s="491" customFormat="1" ht="33" x14ac:dyDescent="0.25">
      <c r="A131" s="207"/>
      <c r="B131" s="502">
        <v>122</v>
      </c>
      <c r="C131" s="503" t="s">
        <v>576</v>
      </c>
      <c r="D131" s="504">
        <v>96</v>
      </c>
      <c r="E131" s="508">
        <f>D131*4.5/1000*1753718-0.02</f>
        <v>757606.15599999996</v>
      </c>
      <c r="F131" s="506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7"/>
      <c r="BS131" s="207"/>
      <c r="BT131" s="207"/>
      <c r="BU131" s="207"/>
      <c r="BV131" s="207"/>
      <c r="BW131" s="207"/>
      <c r="BX131" s="207"/>
    </row>
    <row r="132" spans="1:76" s="491" customFormat="1" ht="33" x14ac:dyDescent="0.25">
      <c r="A132" s="207"/>
      <c r="B132" s="492">
        <v>123</v>
      </c>
      <c r="C132" s="493" t="s">
        <v>571</v>
      </c>
      <c r="D132" s="494">
        <v>1400</v>
      </c>
      <c r="E132" s="508">
        <f>D132*4.5/1000*1753718.9*1.5-322491.557</f>
        <v>16250152.048</v>
      </c>
      <c r="F132" s="496"/>
      <c r="G132" s="2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  <c r="BI132" s="207"/>
      <c r="BJ132" s="207"/>
      <c r="BK132" s="207"/>
      <c r="BL132" s="207"/>
      <c r="BM132" s="207"/>
      <c r="BN132" s="207"/>
      <c r="BO132" s="207"/>
      <c r="BP132" s="207"/>
      <c r="BQ132" s="207"/>
      <c r="BR132" s="207"/>
      <c r="BS132" s="207"/>
      <c r="BT132" s="207"/>
      <c r="BU132" s="207"/>
      <c r="BV132" s="207"/>
      <c r="BW132" s="207"/>
      <c r="BX132" s="207"/>
    </row>
    <row r="133" spans="1:76" s="512" customFormat="1" ht="16.5" x14ac:dyDescent="0.25">
      <c r="A133" s="410"/>
      <c r="B133" s="513"/>
      <c r="C133" s="514" t="s">
        <v>488</v>
      </c>
      <c r="D133" s="515">
        <f>SUM(D74:D132)</f>
        <v>35319</v>
      </c>
      <c r="E133" s="515">
        <f>SUM(E74:E132)</f>
        <v>303059855.11082494</v>
      </c>
      <c r="F133" s="516"/>
      <c r="G133" s="410"/>
      <c r="H133" s="410"/>
      <c r="I133" s="410"/>
      <c r="J133" s="410"/>
      <c r="K133" s="410"/>
      <c r="L133" s="410"/>
      <c r="M133" s="410"/>
      <c r="N133" s="410"/>
      <c r="O133" s="410"/>
      <c r="P133" s="410"/>
      <c r="Q133" s="410"/>
      <c r="R133" s="410"/>
      <c r="S133" s="410"/>
      <c r="T133" s="410"/>
      <c r="U133" s="410"/>
      <c r="V133" s="410"/>
      <c r="W133" s="410"/>
      <c r="X133" s="410"/>
      <c r="Y133" s="410"/>
      <c r="Z133" s="410"/>
      <c r="AA133" s="410"/>
      <c r="AB133" s="410"/>
      <c r="AC133" s="410"/>
      <c r="AD133" s="410"/>
      <c r="AE133" s="410"/>
      <c r="AF133" s="410"/>
      <c r="AG133" s="410"/>
      <c r="AH133" s="410"/>
      <c r="AI133" s="410"/>
      <c r="AJ133" s="410"/>
      <c r="AK133" s="410"/>
      <c r="AL133" s="410"/>
      <c r="AM133" s="410"/>
      <c r="AN133" s="410"/>
      <c r="AO133" s="410"/>
      <c r="AP133" s="410"/>
      <c r="AQ133" s="410"/>
      <c r="AR133" s="410"/>
      <c r="AS133" s="410"/>
      <c r="AT133" s="410"/>
      <c r="AU133" s="410"/>
      <c r="AV133" s="410"/>
      <c r="AW133" s="410"/>
      <c r="AX133" s="410"/>
      <c r="AY133" s="410"/>
      <c r="AZ133" s="410"/>
      <c r="BA133" s="410"/>
      <c r="BB133" s="410"/>
      <c r="BC133" s="410"/>
      <c r="BD133" s="410"/>
      <c r="BE133" s="410"/>
      <c r="BF133" s="410"/>
      <c r="BG133" s="410"/>
      <c r="BH133" s="410"/>
      <c r="BI133" s="410"/>
      <c r="BJ133" s="410"/>
      <c r="BK133" s="410"/>
      <c r="BL133" s="410"/>
      <c r="BM133" s="410"/>
      <c r="BN133" s="410"/>
      <c r="BO133" s="410"/>
      <c r="BP133" s="410"/>
      <c r="BQ133" s="410"/>
      <c r="BR133" s="410"/>
      <c r="BS133" s="410"/>
      <c r="BT133" s="410"/>
      <c r="BU133" s="410"/>
      <c r="BV133" s="410"/>
      <c r="BW133" s="410"/>
      <c r="BX133" s="410"/>
    </row>
    <row r="134" spans="1:76" ht="27" customHeight="1" x14ac:dyDescent="0.25">
      <c r="D134" s="517">
        <f>D133+D72+D12</f>
        <v>78148</v>
      </c>
      <c r="E134" s="353">
        <f>E133+E72+E12</f>
        <v>641054975.58727503</v>
      </c>
    </row>
  </sheetData>
  <mergeCells count="9">
    <mergeCell ref="B13:F13"/>
    <mergeCell ref="B73:F73"/>
    <mergeCell ref="B2:F2"/>
    <mergeCell ref="B4:F4"/>
    <mergeCell ref="C92:C93"/>
    <mergeCell ref="B92:B93"/>
    <mergeCell ref="D92:D93"/>
    <mergeCell ref="E92:E93"/>
    <mergeCell ref="F92:F9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H19"/>
  <sheetViews>
    <sheetView workbookViewId="0">
      <selection activeCell="G24" sqref="G24"/>
    </sheetView>
  </sheetViews>
  <sheetFormatPr defaultColWidth="9.140625" defaultRowHeight="15.75" x14ac:dyDescent="0.25"/>
  <cols>
    <col min="1" max="1" width="5.7109375" style="417" customWidth="1"/>
    <col min="2" max="2" width="67.7109375" style="417" customWidth="1"/>
    <col min="3" max="3" width="7.5703125" style="417" customWidth="1"/>
    <col min="4" max="4" width="26.7109375" style="417" customWidth="1"/>
    <col min="5" max="16384" width="9.140625" style="417"/>
  </cols>
  <sheetData>
    <row r="3" spans="1:8" ht="25.5" customHeight="1" x14ac:dyDescent="0.25">
      <c r="C3" s="714" t="s">
        <v>101</v>
      </c>
      <c r="D3" s="714"/>
    </row>
    <row r="4" spans="1:8" ht="25.5" customHeight="1" x14ac:dyDescent="0.25">
      <c r="A4" s="419"/>
      <c r="B4" s="753" t="s">
        <v>136</v>
      </c>
      <c r="C4" s="789"/>
      <c r="D4" s="789"/>
    </row>
    <row r="5" spans="1:8" ht="25.5" customHeight="1" x14ac:dyDescent="0.25">
      <c r="A5" s="419"/>
      <c r="B5" s="753" t="s">
        <v>100</v>
      </c>
      <c r="C5" s="788"/>
      <c r="D5" s="788"/>
    </row>
    <row r="6" spans="1:8" ht="25.5" customHeight="1" x14ac:dyDescent="0.25">
      <c r="A6" s="419"/>
      <c r="B6" s="753" t="s">
        <v>99</v>
      </c>
      <c r="C6" s="788"/>
      <c r="D6" s="788"/>
    </row>
    <row r="7" spans="1:8" x14ac:dyDescent="0.25">
      <c r="A7" s="2"/>
    </row>
    <row r="8" spans="1:8" ht="21" customHeight="1" x14ac:dyDescent="0.25">
      <c r="A8" s="743"/>
      <c r="B8" s="743"/>
      <c r="C8" s="743"/>
      <c r="D8" s="743"/>
    </row>
    <row r="9" spans="1:8" x14ac:dyDescent="0.25">
      <c r="A9" s="214"/>
    </row>
    <row r="10" spans="1:8" ht="18" customHeight="1" x14ac:dyDescent="0.25">
      <c r="A10" s="791" t="s">
        <v>90</v>
      </c>
      <c r="B10" s="792" t="s">
        <v>103</v>
      </c>
      <c r="C10" s="792" t="s">
        <v>102</v>
      </c>
      <c r="D10" s="745" t="s">
        <v>111</v>
      </c>
    </row>
    <row r="11" spans="1:8" ht="67.5" customHeight="1" x14ac:dyDescent="0.25">
      <c r="A11" s="747"/>
      <c r="B11" s="748"/>
      <c r="C11" s="748"/>
      <c r="D11" s="746"/>
    </row>
    <row r="12" spans="1:8" ht="78.75" x14ac:dyDescent="0.25">
      <c r="A12" s="518">
        <v>1</v>
      </c>
      <c r="B12" s="355" t="s">
        <v>104</v>
      </c>
      <c r="C12" s="519" t="s">
        <v>95</v>
      </c>
      <c r="D12" s="520">
        <f>прил.3!E20</f>
        <v>14.6</v>
      </c>
      <c r="E12" s="214"/>
    </row>
    <row r="13" spans="1:8" ht="47.25" x14ac:dyDescent="0.25">
      <c r="A13" s="518">
        <v>2</v>
      </c>
      <c r="B13" s="355" t="s">
        <v>106</v>
      </c>
      <c r="C13" s="521" t="s">
        <v>105</v>
      </c>
      <c r="D13" s="522">
        <v>0</v>
      </c>
      <c r="F13" s="523" t="s">
        <v>109</v>
      </c>
      <c r="G13" s="523" t="s">
        <v>110</v>
      </c>
    </row>
    <row r="14" spans="1:8" ht="78.75" x14ac:dyDescent="0.25">
      <c r="A14" s="518">
        <v>3</v>
      </c>
      <c r="B14" s="355" t="s">
        <v>107</v>
      </c>
      <c r="C14" s="521" t="s">
        <v>105</v>
      </c>
      <c r="D14" s="524">
        <f>SUM('целевые показатели'!G140:G155,'целевые показатели'!G44:G44)</f>
        <v>20.85</v>
      </c>
      <c r="F14" s="417">
        <f>SUM('целевые показатели'!G44:G50)</f>
        <v>4.7299999999999995</v>
      </c>
      <c r="G14" s="417">
        <f>SUM('целевые показатели'!G140:G142)</f>
        <v>4.8950000000000005</v>
      </c>
      <c r="H14" s="417">
        <f>SUM(F14:G14)</f>
        <v>9.625</v>
      </c>
    </row>
    <row r="15" spans="1:8" ht="66.75" customHeight="1" x14ac:dyDescent="0.25">
      <c r="A15" s="525">
        <v>4</v>
      </c>
      <c r="B15" s="526" t="s">
        <v>108</v>
      </c>
      <c r="C15" s="527" t="s">
        <v>105</v>
      </c>
      <c r="D15" s="528">
        <v>0</v>
      </c>
    </row>
    <row r="18" spans="1:6" ht="18.75" x14ac:dyDescent="0.3">
      <c r="A18" s="444" t="s">
        <v>126</v>
      </c>
      <c r="B18" s="444"/>
      <c r="C18" s="444"/>
      <c r="D18" s="445"/>
      <c r="E18" s="445"/>
      <c r="F18" s="445"/>
    </row>
    <row r="19" spans="1:6" ht="18.75" x14ac:dyDescent="0.3">
      <c r="A19" s="444" t="s">
        <v>127</v>
      </c>
      <c r="B19" s="444"/>
      <c r="C19" s="444"/>
      <c r="D19" s="444" t="s">
        <v>128</v>
      </c>
      <c r="E19" s="790"/>
      <c r="F19" s="790"/>
    </row>
  </sheetData>
  <mergeCells count="10">
    <mergeCell ref="E19:F19"/>
    <mergeCell ref="D10:D11"/>
    <mergeCell ref="A10:A11"/>
    <mergeCell ref="B10:B11"/>
    <mergeCell ref="C10:C11"/>
    <mergeCell ref="C3:D3"/>
    <mergeCell ref="A8:D8"/>
    <mergeCell ref="B6:D6"/>
    <mergeCell ref="B5:D5"/>
    <mergeCell ref="B4:D4"/>
  </mergeCells>
  <pageMargins left="0.7" right="0.7" top="0.75" bottom="0.75" header="0.3" footer="0.3"/>
  <pageSetup paperSize="9" scale="81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35"/>
  <sheetViews>
    <sheetView workbookViewId="0">
      <pane ySplit="6" topLeftCell="A7" activePane="bottomLeft" state="frozen"/>
      <selection pane="bottomLeft" activeCell="E22" sqref="E22"/>
    </sheetView>
  </sheetViews>
  <sheetFormatPr defaultColWidth="9.140625" defaultRowHeight="15.75" x14ac:dyDescent="0.25"/>
  <cols>
    <col min="1" max="1" width="59.42578125" style="2" customWidth="1"/>
    <col min="2" max="3" width="20.42578125" style="2" customWidth="1"/>
    <col min="4" max="4" width="20.5703125" style="529" customWidth="1"/>
    <col min="5" max="5" width="16.140625" style="2" customWidth="1"/>
    <col min="6" max="6" width="9.140625" style="2" customWidth="1"/>
    <col min="7" max="7" width="26.7109375" style="2" customWidth="1"/>
    <col min="8" max="8" width="12.7109375" style="214" customWidth="1"/>
    <col min="9" max="9" width="12.42578125" style="2" bestFit="1" customWidth="1"/>
    <col min="10" max="10" width="27.5703125" style="2" customWidth="1"/>
    <col min="11" max="16384" width="9.140625" style="2"/>
  </cols>
  <sheetData>
    <row r="2" spans="1:9" x14ac:dyDescent="0.25">
      <c r="A2" s="800" t="s">
        <v>190</v>
      </c>
      <c r="B2" s="771"/>
      <c r="C2" s="771"/>
    </row>
    <row r="3" spans="1:9" ht="18.75" x14ac:dyDescent="0.25">
      <c r="A3" s="530"/>
      <c r="B3" s="531"/>
      <c r="C3" s="531"/>
    </row>
    <row r="4" spans="1:9" x14ac:dyDescent="0.25">
      <c r="A4" s="532" t="s">
        <v>229</v>
      </c>
      <c r="B4" s="533" t="s">
        <v>193</v>
      </c>
      <c r="C4" s="533" t="s">
        <v>194</v>
      </c>
    </row>
    <row r="5" spans="1:9" x14ac:dyDescent="0.25">
      <c r="A5" s="797" t="s">
        <v>129</v>
      </c>
      <c r="B5" s="798"/>
      <c r="C5" s="799"/>
    </row>
    <row r="6" spans="1:9" ht="48" customHeight="1" x14ac:dyDescent="0.25">
      <c r="A6" s="797" t="s">
        <v>148</v>
      </c>
      <c r="B6" s="801"/>
      <c r="C6" s="802"/>
    </row>
    <row r="7" spans="1:9" s="534" customFormat="1" ht="31.5" x14ac:dyDescent="0.25">
      <c r="A7" s="535" t="s">
        <v>191</v>
      </c>
      <c r="B7" s="536">
        <f>SUM(B8:B9)</f>
        <v>10211278.07</v>
      </c>
      <c r="C7" s="536"/>
      <c r="D7" s="537">
        <f>'целевые показатели'!I34</f>
        <v>10314.42231</v>
      </c>
      <c r="H7" s="538"/>
    </row>
    <row r="8" spans="1:9" x14ac:dyDescent="0.25">
      <c r="A8" s="539" t="s">
        <v>192</v>
      </c>
      <c r="B8" s="540">
        <v>1349578.61</v>
      </c>
      <c r="C8" s="540"/>
      <c r="G8" s="2" t="s">
        <v>256</v>
      </c>
    </row>
    <row r="9" spans="1:9" x14ac:dyDescent="0.25">
      <c r="A9" s="539" t="s">
        <v>192</v>
      </c>
      <c r="B9" s="540">
        <v>8861699.4600000009</v>
      </c>
      <c r="C9" s="540"/>
      <c r="D9" s="529">
        <v>8837345.4600000009</v>
      </c>
      <c r="E9" s="529">
        <f>B9-D9</f>
        <v>24354</v>
      </c>
      <c r="G9" s="2" t="s">
        <v>257</v>
      </c>
      <c r="H9" s="541">
        <v>24354</v>
      </c>
      <c r="I9" s="529" t="s">
        <v>260</v>
      </c>
    </row>
    <row r="10" spans="1:9" x14ac:dyDescent="0.25">
      <c r="A10" s="542" t="s">
        <v>130</v>
      </c>
      <c r="B10" s="543"/>
      <c r="C10" s="544"/>
    </row>
    <row r="11" spans="1:9" ht="31.5" customHeight="1" x14ac:dyDescent="0.25">
      <c r="A11" s="797" t="s">
        <v>15</v>
      </c>
      <c r="B11" s="801"/>
      <c r="C11" s="802"/>
    </row>
    <row r="12" spans="1:9" s="534" customFormat="1" ht="31.5" x14ac:dyDescent="0.25">
      <c r="A12" s="535" t="s">
        <v>191</v>
      </c>
      <c r="B12" s="536">
        <f>SUM(B13:B16)</f>
        <v>47431901.493900001</v>
      </c>
      <c r="C12" s="536">
        <f>SUM(C13:C14)</f>
        <v>0</v>
      </c>
      <c r="D12" s="537">
        <f>'целевые показатели'!I128</f>
        <v>19371.843597999999</v>
      </c>
      <c r="H12" s="538"/>
    </row>
    <row r="13" spans="1:9" ht="31.5" x14ac:dyDescent="0.25">
      <c r="A13" s="243" t="s">
        <v>195</v>
      </c>
      <c r="B13" s="540">
        <v>4938009.5456999997</v>
      </c>
      <c r="C13" s="540"/>
    </row>
    <row r="14" spans="1:9" x14ac:dyDescent="0.25">
      <c r="A14" s="243" t="s">
        <v>196</v>
      </c>
      <c r="B14" s="540">
        <v>19497098.412</v>
      </c>
      <c r="C14" s="540"/>
      <c r="G14" s="2" t="s">
        <v>261</v>
      </c>
      <c r="H14" s="545" t="s">
        <v>262</v>
      </c>
    </row>
    <row r="15" spans="1:9" ht="31.5" x14ac:dyDescent="0.25">
      <c r="A15" s="243" t="s">
        <v>197</v>
      </c>
      <c r="B15" s="540">
        <v>7038983.5362</v>
      </c>
      <c r="C15" s="540"/>
    </row>
    <row r="16" spans="1:9" ht="31.5" x14ac:dyDescent="0.25">
      <c r="A16" s="243" t="s">
        <v>198</v>
      </c>
      <c r="B16" s="540">
        <v>15957810</v>
      </c>
      <c r="C16" s="540"/>
      <c r="D16" s="6">
        <f>19178.12516+28253.77632</f>
        <v>47431.90148</v>
      </c>
      <c r="G16" s="2" t="s">
        <v>259</v>
      </c>
    </row>
    <row r="17" spans="1:10" x14ac:dyDescent="0.25">
      <c r="A17" s="546" t="s">
        <v>131</v>
      </c>
      <c r="B17" s="529"/>
      <c r="C17" s="529"/>
    </row>
    <row r="18" spans="1:10" ht="80.25" customHeight="1" x14ac:dyDescent="0.25">
      <c r="A18" s="803" t="s">
        <v>14</v>
      </c>
      <c r="B18" s="801"/>
      <c r="C18" s="802"/>
    </row>
    <row r="19" spans="1:10" ht="31.5" x14ac:dyDescent="0.25">
      <c r="A19" s="535" t="s">
        <v>191</v>
      </c>
      <c r="B19" s="536">
        <f>SUM(B20:B24)</f>
        <v>82538739.726300001</v>
      </c>
      <c r="C19" s="536">
        <f>SUM(C20:C24)</f>
        <v>1007319.7837000018</v>
      </c>
      <c r="D19" s="529">
        <f>'целевые показатели'!I157</f>
        <v>83546.059510000006</v>
      </c>
    </row>
    <row r="20" spans="1:10" x14ac:dyDescent="0.25">
      <c r="A20" s="243" t="s">
        <v>199</v>
      </c>
      <c r="B20" s="540">
        <v>0</v>
      </c>
      <c r="C20" s="540">
        <v>81721.5</v>
      </c>
    </row>
    <row r="21" spans="1:10" x14ac:dyDescent="0.25">
      <c r="A21" s="243" t="s">
        <v>200</v>
      </c>
      <c r="B21" s="540">
        <v>0</v>
      </c>
      <c r="C21" s="540">
        <v>91873.64</v>
      </c>
    </row>
    <row r="22" spans="1:10" x14ac:dyDescent="0.25">
      <c r="A22" s="243" t="s">
        <v>226</v>
      </c>
      <c r="B22" s="540">
        <v>10520883.430200001</v>
      </c>
      <c r="C22" s="540">
        <f>D22-B22</f>
        <v>106271.54980000108</v>
      </c>
      <c r="D22" s="547">
        <v>10627154.98</v>
      </c>
    </row>
    <row r="23" spans="1:10" x14ac:dyDescent="0.25">
      <c r="A23" s="243" t="s">
        <v>227</v>
      </c>
      <c r="B23" s="540">
        <v>62847889.909199998</v>
      </c>
      <c r="C23" s="540">
        <f>D23-B23</f>
        <v>634827.17080000043</v>
      </c>
      <c r="D23" s="547">
        <v>63482717.079999998</v>
      </c>
    </row>
    <row r="24" spans="1:10" x14ac:dyDescent="0.25">
      <c r="A24" s="548" t="s">
        <v>228</v>
      </c>
      <c r="B24" s="549">
        <v>9169966.3869000003</v>
      </c>
      <c r="C24" s="549">
        <f>D24-B24</f>
        <v>92625.923100000247</v>
      </c>
      <c r="D24" s="547">
        <v>9262592.3100000005</v>
      </c>
    </row>
    <row r="25" spans="1:10" x14ac:dyDescent="0.25">
      <c r="A25" s="550" t="s">
        <v>132</v>
      </c>
      <c r="B25" s="551"/>
      <c r="C25" s="547"/>
    </row>
    <row r="26" spans="1:10" ht="30.75" customHeight="1" x14ac:dyDescent="0.25">
      <c r="A26" s="794" t="s">
        <v>13</v>
      </c>
      <c r="B26" s="795"/>
      <c r="C26" s="796"/>
    </row>
    <row r="27" spans="1:10" ht="31.5" x14ac:dyDescent="0.25">
      <c r="A27" s="535" t="s">
        <v>191</v>
      </c>
      <c r="B27" s="552">
        <f>SUM(B28:B33)</f>
        <v>5806.1473854999995</v>
      </c>
      <c r="C27" s="552">
        <f>SUM(C28:C33)</f>
        <v>305.58670449999977</v>
      </c>
      <c r="D27" s="6">
        <f>SUM(B27:C27)</f>
        <v>6111.734089999999</v>
      </c>
    </row>
    <row r="28" spans="1:10" ht="63" x14ac:dyDescent="0.25">
      <c r="A28" s="553" t="s">
        <v>211</v>
      </c>
      <c r="B28" s="554">
        <f t="shared" ref="B28:B33" si="0">D28*0.95</f>
        <v>1523.07078</v>
      </c>
      <c r="C28" s="273">
        <f t="shared" ref="C28:C33" si="1">D28-B28</f>
        <v>80.161620000000084</v>
      </c>
      <c r="D28" s="6">
        <v>1603.2324000000001</v>
      </c>
      <c r="G28" s="793" t="s">
        <v>258</v>
      </c>
      <c r="H28" s="758"/>
    </row>
    <row r="29" spans="1:10" ht="63" x14ac:dyDescent="0.25">
      <c r="A29" s="553" t="s">
        <v>218</v>
      </c>
      <c r="B29" s="554">
        <f t="shared" si="0"/>
        <v>2046.5537544999997</v>
      </c>
      <c r="C29" s="273">
        <f t="shared" si="1"/>
        <v>107.71335549999981</v>
      </c>
      <c r="D29" s="6">
        <v>2154.2671099999998</v>
      </c>
      <c r="G29" s="555">
        <f>B29*0.95</f>
        <v>1944.2260667749997</v>
      </c>
    </row>
    <row r="30" spans="1:10" s="555" customFormat="1" ht="63" x14ac:dyDescent="0.25">
      <c r="A30" s="556" t="s">
        <v>219</v>
      </c>
      <c r="B30" s="554">
        <f t="shared" si="0"/>
        <v>1414.7846309999998</v>
      </c>
      <c r="C30" s="273">
        <f t="shared" si="1"/>
        <v>74.462348999999904</v>
      </c>
      <c r="D30" s="557">
        <v>1489.2469799999999</v>
      </c>
      <c r="E30" s="555">
        <v>1433.933192</v>
      </c>
      <c r="F30" s="555">
        <v>75.470168000000058</v>
      </c>
      <c r="H30" s="558"/>
      <c r="I30" s="559"/>
      <c r="J30" s="559"/>
    </row>
    <row r="31" spans="1:10" ht="47.25" x14ac:dyDescent="0.25">
      <c r="A31" s="553" t="s">
        <v>220</v>
      </c>
      <c r="B31" s="554">
        <f t="shared" si="0"/>
        <v>388.32239900000002</v>
      </c>
      <c r="C31" s="273">
        <f t="shared" si="1"/>
        <v>20.438020999999992</v>
      </c>
      <c r="D31" s="6">
        <v>408.76042000000001</v>
      </c>
      <c r="G31" s="555"/>
    </row>
    <row r="32" spans="1:10" ht="47.25" x14ac:dyDescent="0.25">
      <c r="A32" s="553" t="s">
        <v>221</v>
      </c>
      <c r="B32" s="554">
        <f t="shared" si="0"/>
        <v>33.460177999999999</v>
      </c>
      <c r="C32" s="273">
        <f t="shared" si="1"/>
        <v>1.7610620000000026</v>
      </c>
      <c r="D32" s="6">
        <v>35.221240000000002</v>
      </c>
      <c r="G32" s="555"/>
    </row>
    <row r="33" spans="1:10" ht="47.25" x14ac:dyDescent="0.25">
      <c r="A33" s="553" t="s">
        <v>222</v>
      </c>
      <c r="B33" s="554">
        <f t="shared" si="0"/>
        <v>399.95564300000001</v>
      </c>
      <c r="C33" s="273">
        <f t="shared" si="1"/>
        <v>21.050297</v>
      </c>
      <c r="D33" s="6">
        <v>421.00594000000001</v>
      </c>
      <c r="G33" s="555">
        <f>B33*0.95</f>
        <v>379.95786084999997</v>
      </c>
      <c r="J33" s="6">
        <f>G29+J30+G31+G32+G33+J28</f>
        <v>2324.1839276249998</v>
      </c>
    </row>
    <row r="34" spans="1:10" x14ac:dyDescent="0.25">
      <c r="D34" s="529">
        <f>SUM(D29:D33)</f>
        <v>4508.5016899999991</v>
      </c>
      <c r="J34" s="2">
        <v>5806.1473854999995</v>
      </c>
    </row>
    <row r="35" spans="1:10" x14ac:dyDescent="0.25">
      <c r="D35" s="529">
        <v>1170</v>
      </c>
    </row>
  </sheetData>
  <mergeCells count="7">
    <mergeCell ref="G28:H28"/>
    <mergeCell ref="A26:C26"/>
    <mergeCell ref="A5:C5"/>
    <mergeCell ref="A2:C2"/>
    <mergeCell ref="A6:C6"/>
    <mergeCell ref="A11:C11"/>
    <mergeCell ref="A18:C18"/>
  </mergeCells>
  <pageMargins left="0.7" right="0.7" top="0.75" bottom="0.75" header="0.3" footer="0.3"/>
  <pageSetup paperSize="9" scale="6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workbookViewId="0">
      <selection activeCell="G15" sqref="G15"/>
    </sheetView>
  </sheetViews>
  <sheetFormatPr defaultColWidth="9.140625" defaultRowHeight="15" x14ac:dyDescent="0.25"/>
  <cols>
    <col min="1" max="1" width="5.7109375" style="560" customWidth="1"/>
    <col min="2" max="2" width="59.7109375" style="561" customWidth="1"/>
    <col min="3" max="3" width="9.140625" style="562"/>
    <col min="4" max="4" width="14.7109375" style="400" customWidth="1"/>
    <col min="5" max="5" width="9.140625" style="400"/>
    <col min="6" max="6" width="14.85546875" style="400" customWidth="1"/>
    <col min="7" max="7" width="18.85546875" style="400" customWidth="1"/>
    <col min="8" max="8" width="15.5703125" style="400" bestFit="1" customWidth="1"/>
    <col min="9" max="9" width="17.140625" style="400" customWidth="1"/>
    <col min="10" max="16384" width="9.140625" style="400"/>
  </cols>
  <sheetData>
    <row r="2" spans="1:9" ht="24" customHeight="1" x14ac:dyDescent="0.25">
      <c r="C2" s="804" t="s">
        <v>491</v>
      </c>
      <c r="D2" s="805"/>
      <c r="E2" s="804" t="s">
        <v>487</v>
      </c>
      <c r="F2" s="805"/>
    </row>
    <row r="3" spans="1:9" ht="21" customHeight="1" x14ac:dyDescent="0.25">
      <c r="A3" s="563">
        <v>1</v>
      </c>
      <c r="B3" s="564" t="s">
        <v>153</v>
      </c>
      <c r="C3" s="565" t="s">
        <v>223</v>
      </c>
      <c r="D3" s="566">
        <v>21875829</v>
      </c>
      <c r="E3" s="567" t="s">
        <v>223</v>
      </c>
      <c r="F3" s="568">
        <v>12511418.380000001</v>
      </c>
    </row>
    <row r="4" spans="1:9" ht="21" customHeight="1" x14ac:dyDescent="0.25">
      <c r="A4" s="563">
        <v>2</v>
      </c>
      <c r="B4" s="564" t="str">
        <f>'целевые показатели'!B45</f>
        <v>ул.Мостовая</v>
      </c>
      <c r="C4" s="569">
        <v>1.97</v>
      </c>
      <c r="D4" s="570">
        <v>38647633.920000002</v>
      </c>
      <c r="E4" s="571">
        <v>1.97</v>
      </c>
      <c r="F4" s="572">
        <v>38647633.920000002</v>
      </c>
    </row>
    <row r="5" spans="1:9" s="573" customFormat="1" x14ac:dyDescent="0.25">
      <c r="A5" s="574">
        <v>3</v>
      </c>
      <c r="B5" s="575" t="str">
        <f>'целевые показатели'!B46</f>
        <v>ул.Генерала Родина на участке от ул.Мостовой до ул.Веселой</v>
      </c>
      <c r="C5" s="576">
        <v>0.95</v>
      </c>
      <c r="D5" s="577">
        <v>9261915.9199999999</v>
      </c>
      <c r="E5" s="578">
        <v>0.91</v>
      </c>
      <c r="F5" s="579">
        <v>9261918.9199999999</v>
      </c>
      <c r="G5" s="573">
        <f>F5*0.99</f>
        <v>9169299.7307999991</v>
      </c>
      <c r="H5" s="573">
        <f>F5-G5</f>
        <v>92619.189200000837</v>
      </c>
    </row>
    <row r="6" spans="1:9" ht="30" x14ac:dyDescent="0.25">
      <c r="A6" s="563">
        <v>4</v>
      </c>
      <c r="B6" s="564" t="str">
        <f>'целевые показатели'!B47</f>
        <v>Наугорское шоссе от ул. Лескова до ул. Скворцова (1 этап от ул.Лескова до ул.Цветаева)</v>
      </c>
      <c r="C6" s="569">
        <v>0.97</v>
      </c>
      <c r="D6" s="570">
        <f>11337.80044*1000</f>
        <v>11337800.440000001</v>
      </c>
      <c r="E6" s="571">
        <v>0.97</v>
      </c>
      <c r="F6" s="572">
        <f>11337.80044*1000</f>
        <v>11337800.440000001</v>
      </c>
      <c r="G6" s="573"/>
      <c r="H6" s="573"/>
    </row>
    <row r="7" spans="1:9" s="573" customFormat="1" ht="21" customHeight="1" x14ac:dyDescent="0.25">
      <c r="A7" s="574">
        <v>5</v>
      </c>
      <c r="B7" s="575" t="str">
        <f>'целевые показатели'!B48</f>
        <v>Кромской проезд</v>
      </c>
      <c r="C7" s="576">
        <v>0.28000000000000003</v>
      </c>
      <c r="D7" s="577">
        <v>1791804</v>
      </c>
      <c r="E7" s="578">
        <v>0.18</v>
      </c>
      <c r="F7" s="579">
        <v>1703578.12</v>
      </c>
      <c r="G7" s="573">
        <f>F7*0.99</f>
        <v>1686542.3388</v>
      </c>
      <c r="H7" s="573">
        <f>F7-G7</f>
        <v>17035.781200000085</v>
      </c>
    </row>
    <row r="8" spans="1:9" ht="21" customHeight="1" x14ac:dyDescent="0.25">
      <c r="A8" s="563">
        <v>6</v>
      </c>
      <c r="B8" s="564" t="str">
        <f>'целевые показатели'!B49</f>
        <v>ул.Базовая</v>
      </c>
      <c r="C8" s="569">
        <v>0.40500000000000003</v>
      </c>
      <c r="D8" s="570">
        <v>6303572.0199999996</v>
      </c>
      <c r="E8" s="571">
        <v>0.45</v>
      </c>
      <c r="F8" s="572">
        <f>5729218.15+332310.21</f>
        <v>6061528.3600000003</v>
      </c>
      <c r="G8" s="573"/>
      <c r="H8" s="573"/>
    </row>
    <row r="9" spans="1:9" s="573" customFormat="1" ht="21" customHeight="1" x14ac:dyDescent="0.25">
      <c r="A9" s="574">
        <v>7</v>
      </c>
      <c r="B9" s="575" t="str">
        <f>'целевые показатели'!B50</f>
        <v>ул.Комсомольская в районе д. 95</v>
      </c>
      <c r="C9" s="576">
        <v>0.33</v>
      </c>
      <c r="D9" s="577">
        <v>6500000</v>
      </c>
      <c r="E9" s="578">
        <v>0.25</v>
      </c>
      <c r="F9" s="579">
        <v>6500000</v>
      </c>
      <c r="G9" s="573">
        <f>F9*0.99</f>
        <v>6435000</v>
      </c>
      <c r="H9" s="573">
        <f>F9-G9</f>
        <v>65000</v>
      </c>
    </row>
    <row r="10" spans="1:9" s="573" customFormat="1" ht="30" x14ac:dyDescent="0.25">
      <c r="A10" s="574">
        <v>8</v>
      </c>
      <c r="B10" s="575" t="str">
        <f>'целевые показатели'!B51</f>
        <v>ул.МОПРа (от ул.Комсомольская до спец.пожарно-спасательной части ФПС по Орловской области)</v>
      </c>
      <c r="C10" s="576">
        <v>0.57299999999999995</v>
      </c>
      <c r="D10" s="577">
        <v>9059853.5999999996</v>
      </c>
      <c r="E10" s="578">
        <v>0.54400000000000004</v>
      </c>
      <c r="F10" s="579">
        <v>8709300.1899999995</v>
      </c>
      <c r="G10" s="573">
        <f>F10*0.99</f>
        <v>8622207.188099999</v>
      </c>
      <c r="H10" s="573">
        <f>F10-G10</f>
        <v>87093.001899998635</v>
      </c>
    </row>
    <row r="11" spans="1:9" s="573" customFormat="1" ht="30" x14ac:dyDescent="0.25">
      <c r="A11" s="574">
        <v>9</v>
      </c>
      <c r="B11" s="575" t="str">
        <f>'целевые показатели'!B52</f>
        <v>ремонт Комсомольской площади в районе м-на "ГАММА" (ул. Комсомольская д.102)</v>
      </c>
      <c r="C11" s="576">
        <v>0.47</v>
      </c>
      <c r="D11" s="577">
        <v>12028249.199999999</v>
      </c>
      <c r="E11" s="578">
        <v>0.371</v>
      </c>
      <c r="F11" s="579">
        <v>8580833.6600000001</v>
      </c>
      <c r="G11" s="573">
        <f>F11*0.99</f>
        <v>8495025.3234000001</v>
      </c>
      <c r="H11" s="573">
        <f>F11-G11</f>
        <v>85808.336600000039</v>
      </c>
    </row>
    <row r="12" spans="1:9" ht="21" customHeight="1" x14ac:dyDescent="0.25">
      <c r="A12" s="563">
        <v>10</v>
      </c>
      <c r="B12" s="564" t="str">
        <f>'целевые показатели'!B53</f>
        <v>ул.Германо</v>
      </c>
      <c r="C12" s="569">
        <v>0.97</v>
      </c>
      <c r="D12" s="570">
        <v>15675129.6</v>
      </c>
      <c r="E12" s="571">
        <v>1.47</v>
      </c>
      <c r="F12" s="572">
        <v>15231919.66</v>
      </c>
    </row>
    <row r="13" spans="1:9" ht="21" customHeight="1" x14ac:dyDescent="0.25">
      <c r="A13" s="563">
        <v>11</v>
      </c>
      <c r="B13" s="564" t="str">
        <f>'целевые показатели'!B54</f>
        <v>ул.Березовая</v>
      </c>
      <c r="C13" s="569">
        <v>1.29</v>
      </c>
      <c r="D13" s="570">
        <v>14352373.199999999</v>
      </c>
      <c r="E13" s="571">
        <v>1.29</v>
      </c>
      <c r="F13" s="572">
        <v>13849912.85</v>
      </c>
    </row>
    <row r="14" spans="1:9" ht="21" customHeight="1" x14ac:dyDescent="0.25">
      <c r="A14" s="563">
        <v>12</v>
      </c>
      <c r="B14" s="564" t="str">
        <f>'целевые показатели'!B55</f>
        <v>пер.Ремонтный до ул.Паровозная</v>
      </c>
      <c r="C14" s="569">
        <v>1.03</v>
      </c>
      <c r="D14" s="570">
        <v>10933666.800000001</v>
      </c>
      <c r="E14" s="571">
        <v>1.3</v>
      </c>
      <c r="F14" s="572">
        <v>10413806.16</v>
      </c>
    </row>
    <row r="15" spans="1:9" ht="75" x14ac:dyDescent="0.25">
      <c r="A15" s="563">
        <v>13</v>
      </c>
      <c r="B15" s="564" t="str">
        <f>'целевые показатели'!B242</f>
        <v>Капитальный ремонт улично-дорожной сети города Орла
по ул. Салтыкова-Щедрина, ул. Тургенева от дома № 15 до дома № 19, ул. Полесская от дома № 29А до дома № 18 по ул. Салтыкова-Щедрина, ул. Гуртьева от дома № 2 до дома № 6, ул. Красноармейская от дома № 4 до дома № 6</v>
      </c>
      <c r="C15" s="569">
        <v>1.47</v>
      </c>
      <c r="D15" s="570">
        <v>30430207.600000001</v>
      </c>
      <c r="E15" s="580">
        <v>0</v>
      </c>
      <c r="F15" s="572">
        <v>0</v>
      </c>
    </row>
    <row r="16" spans="1:9" ht="30" x14ac:dyDescent="0.25">
      <c r="A16" s="563">
        <v>14</v>
      </c>
      <c r="B16" s="564" t="str">
        <f>'целевые показатели'!B243</f>
        <v>Капитальный ремонт улично-дорожной сети города Орла
по ул. Пионерская</v>
      </c>
      <c r="C16" s="580">
        <f>0.928</f>
        <v>0.92800000000000005</v>
      </c>
      <c r="D16" s="570">
        <v>72000000</v>
      </c>
      <c r="E16" s="580">
        <f>0.928-0.928</f>
        <v>0</v>
      </c>
      <c r="F16" s="572">
        <v>53978952.090000004</v>
      </c>
      <c r="H16" s="400">
        <f>SUM(F3:F16)</f>
        <v>196788602.75</v>
      </c>
      <c r="I16" s="400">
        <f>H16*0.99</f>
        <v>194820716.7225</v>
      </c>
    </row>
    <row r="17" spans="1:9" ht="30" x14ac:dyDescent="0.25">
      <c r="A17" s="563">
        <v>15</v>
      </c>
      <c r="B17" s="564" t="str">
        <f>'целевые показатели'!B245</f>
        <v>Капитальный ремонт улично-дорожной сети города Орла по ул. Кольцевая</v>
      </c>
      <c r="C17" s="581" t="s">
        <v>223</v>
      </c>
      <c r="D17" s="570">
        <v>9931602.5099999998</v>
      </c>
      <c r="E17" s="580">
        <f>1.16-1.16</f>
        <v>0</v>
      </c>
      <c r="F17" s="570">
        <v>0</v>
      </c>
      <c r="I17" s="400">
        <f>H16-I16</f>
        <v>1967886.0275000036</v>
      </c>
    </row>
    <row r="18" spans="1:9" x14ac:dyDescent="0.25">
      <c r="A18" s="563">
        <v>16</v>
      </c>
      <c r="B18" s="564" t="s">
        <v>489</v>
      </c>
      <c r="C18" s="581" t="s">
        <v>223</v>
      </c>
      <c r="D18" s="570">
        <f>693900+488300+128500+77100+102800+411200+77100+102800+77100+77100+154200+77100+25700+25700+51400+51400+25700</f>
        <v>2647100</v>
      </c>
      <c r="E18" s="580"/>
      <c r="F18" s="570">
        <v>2645218.2000000002</v>
      </c>
    </row>
    <row r="19" spans="1:9" x14ac:dyDescent="0.25">
      <c r="A19" s="563">
        <v>17</v>
      </c>
      <c r="B19" s="564" t="s">
        <v>490</v>
      </c>
      <c r="C19" s="581"/>
      <c r="D19" s="570">
        <f>12420168+19371843.6+(2686500*6)</f>
        <v>47911011.600000001</v>
      </c>
      <c r="E19" s="580"/>
      <c r="F19" s="570">
        <f>16119000+12420168+19371843.6</f>
        <v>47911011.600000001</v>
      </c>
    </row>
    <row r="20" spans="1:9" s="573" customFormat="1" x14ac:dyDescent="0.25">
      <c r="A20" s="574"/>
      <c r="B20" s="575" t="s">
        <v>492</v>
      </c>
      <c r="C20" s="582"/>
      <c r="D20" s="577"/>
      <c r="E20" s="583"/>
      <c r="F20" s="577">
        <v>66080225.75</v>
      </c>
    </row>
    <row r="21" spans="1:9" ht="29.25" customHeight="1" x14ac:dyDescent="0.25">
      <c r="B21" s="584" t="s">
        <v>488</v>
      </c>
      <c r="C21" s="562">
        <f>SUM(C4:C17)</f>
        <v>11.635999999999999</v>
      </c>
      <c r="D21" s="213">
        <f>SUM(D3:D19)</f>
        <v>320687749.41000003</v>
      </c>
      <c r="E21" s="400">
        <f>SUM(E3:E19)</f>
        <v>9.7050000000000001</v>
      </c>
      <c r="F21" s="213">
        <f>SUM(F3:F20)</f>
        <v>313425058.29999995</v>
      </c>
    </row>
    <row r="22" spans="1:9" x14ac:dyDescent="0.25">
      <c r="C22" s="562">
        <f>C21-C15-C16</f>
        <v>9.2379999999999995</v>
      </c>
    </row>
  </sheetData>
  <mergeCells count="2"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79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9"/>
  <sheetViews>
    <sheetView workbookViewId="0">
      <selection activeCell="K23" sqref="K23"/>
    </sheetView>
  </sheetViews>
  <sheetFormatPr defaultColWidth="9.140625" defaultRowHeight="15" x14ac:dyDescent="0.25"/>
  <cols>
    <col min="1" max="1" width="20.85546875" style="245" customWidth="1"/>
    <col min="2" max="2" width="15.7109375" style="245" customWidth="1"/>
    <col min="3" max="4" width="13.7109375" style="585" customWidth="1"/>
    <col min="5" max="6" width="13.7109375" style="245" customWidth="1"/>
    <col min="7" max="7" width="12.85546875" style="245" customWidth="1"/>
    <col min="8" max="16384" width="9.140625" style="245"/>
  </cols>
  <sheetData>
    <row r="3" spans="1:7" x14ac:dyDescent="0.25">
      <c r="A3" s="586" t="s">
        <v>370</v>
      </c>
      <c r="F3" s="810" t="s">
        <v>329</v>
      </c>
      <c r="G3" s="810"/>
    </row>
    <row r="4" spans="1:7" ht="15" customHeight="1" x14ac:dyDescent="0.25">
      <c r="A4" s="767" t="s">
        <v>323</v>
      </c>
      <c r="B4" s="767" t="s">
        <v>326</v>
      </c>
      <c r="C4" s="807" t="s">
        <v>327</v>
      </c>
      <c r="D4" s="808"/>
      <c r="E4" s="808"/>
      <c r="F4" s="809"/>
      <c r="G4" s="767" t="s">
        <v>95</v>
      </c>
    </row>
    <row r="5" spans="1:7" x14ac:dyDescent="0.25">
      <c r="A5" s="767"/>
      <c r="B5" s="767"/>
      <c r="C5" s="587">
        <v>2020</v>
      </c>
      <c r="D5" s="587">
        <v>2021</v>
      </c>
      <c r="E5" s="588">
        <v>2022</v>
      </c>
      <c r="F5" s="588">
        <v>2023</v>
      </c>
      <c r="G5" s="767"/>
    </row>
    <row r="6" spans="1:7" ht="30" x14ac:dyDescent="0.25">
      <c r="A6" s="589" t="s">
        <v>324</v>
      </c>
      <c r="B6" s="590">
        <f>SUM(C6:F6)</f>
        <v>359330.14999999997</v>
      </c>
      <c r="C6" s="591">
        <v>27101.599999999999</v>
      </c>
      <c r="D6" s="591">
        <v>39.25</v>
      </c>
      <c r="E6" s="590">
        <v>332189.3</v>
      </c>
      <c r="F6" s="590">
        <v>0</v>
      </c>
      <c r="G6" s="592">
        <f>B6/$B$9</f>
        <v>0.12697178456580868</v>
      </c>
    </row>
    <row r="7" spans="1:7" x14ac:dyDescent="0.25">
      <c r="A7" s="589" t="s">
        <v>330</v>
      </c>
      <c r="B7" s="590">
        <f>SUM(C7:F7)</f>
        <v>2440394.3989999997</v>
      </c>
      <c r="C7" s="591">
        <v>46883.18</v>
      </c>
      <c r="D7" s="591">
        <v>0</v>
      </c>
      <c r="E7" s="590">
        <v>0</v>
      </c>
      <c r="F7" s="590">
        <v>2393511.2189999996</v>
      </c>
      <c r="G7" s="592">
        <f>B7/$B$9</f>
        <v>0.86233017709600535</v>
      </c>
    </row>
    <row r="8" spans="1:7" x14ac:dyDescent="0.25">
      <c r="A8" s="589" t="s">
        <v>325</v>
      </c>
      <c r="B8" s="590">
        <f>SUM(C8:F8)</f>
        <v>30275.448470000054</v>
      </c>
      <c r="C8" s="591">
        <v>2742.72</v>
      </c>
      <c r="D8" s="591">
        <v>0.4</v>
      </c>
      <c r="E8" s="590">
        <v>3355.4474700000001</v>
      </c>
      <c r="F8" s="590">
        <v>24176.881000000052</v>
      </c>
      <c r="G8" s="592">
        <f>B8/$B$9</f>
        <v>1.0698038338185898E-2</v>
      </c>
    </row>
    <row r="9" spans="1:7" x14ac:dyDescent="0.25">
      <c r="A9" s="588" t="s">
        <v>328</v>
      </c>
      <c r="B9" s="590">
        <f>SUM(C9:F9)</f>
        <v>2829999.9974699998</v>
      </c>
      <c r="C9" s="591">
        <f>SUM(C6:C8)</f>
        <v>76727.5</v>
      </c>
      <c r="D9" s="591">
        <f>SUM(D6:D8)</f>
        <v>39.65</v>
      </c>
      <c r="E9" s="590">
        <f>SUM(E6:E8)</f>
        <v>335544.74747</v>
      </c>
      <c r="F9" s="590">
        <v>2417688.0999999996</v>
      </c>
      <c r="G9" s="592">
        <f>SUM(G6:G8)</f>
        <v>1</v>
      </c>
    </row>
    <row r="10" spans="1:7" x14ac:dyDescent="0.25">
      <c r="B10" s="593">
        <f>SUM(B6:B8)</f>
        <v>2829999.9974699998</v>
      </c>
    </row>
    <row r="11" spans="1:7" x14ac:dyDescent="0.25">
      <c r="B11" s="594"/>
      <c r="C11" s="595">
        <f>C8/C9</f>
        <v>3.574624482747385E-2</v>
      </c>
      <c r="D11" s="595">
        <f>D8/D9</f>
        <v>1.0088272383354352E-2</v>
      </c>
      <c r="E11" s="596">
        <f>E8/E9</f>
        <v>9.9999999859929269E-3</v>
      </c>
      <c r="F11" s="597">
        <f>F8/F9</f>
        <v>1.0000000000000023E-2</v>
      </c>
    </row>
    <row r="12" spans="1:7" x14ac:dyDescent="0.25">
      <c r="B12" s="594"/>
      <c r="C12" s="595"/>
      <c r="D12" s="595"/>
      <c r="E12" s="594"/>
      <c r="F12" s="594"/>
    </row>
    <row r="14" spans="1:7" x14ac:dyDescent="0.25">
      <c r="A14" s="586" t="s">
        <v>368</v>
      </c>
    </row>
    <row r="15" spans="1:7" x14ac:dyDescent="0.25">
      <c r="A15" s="806" t="s">
        <v>323</v>
      </c>
      <c r="B15" s="806" t="s">
        <v>326</v>
      </c>
      <c r="C15" s="806" t="s">
        <v>327</v>
      </c>
      <c r="D15" s="806"/>
      <c r="E15" s="806"/>
      <c r="F15" s="806"/>
      <c r="G15" s="806" t="s">
        <v>95</v>
      </c>
    </row>
    <row r="16" spans="1:7" x14ac:dyDescent="0.25">
      <c r="A16" s="806"/>
      <c r="B16" s="806"/>
      <c r="C16" s="598">
        <v>2020</v>
      </c>
      <c r="D16" s="598">
        <v>2021</v>
      </c>
      <c r="E16" s="599">
        <v>2022</v>
      </c>
      <c r="F16" s="599">
        <v>2023</v>
      </c>
      <c r="G16" s="806"/>
    </row>
    <row r="17" spans="1:13" ht="30" x14ac:dyDescent="0.25">
      <c r="A17" s="600" t="s">
        <v>324</v>
      </c>
      <c r="B17" s="601">
        <f>SUM(C17:F17)</f>
        <v>528592.22</v>
      </c>
      <c r="C17" s="602">
        <v>196363.63</v>
      </c>
      <c r="D17" s="598">
        <v>39.29</v>
      </c>
      <c r="E17" s="601">
        <v>332189.3</v>
      </c>
      <c r="F17" s="599">
        <v>0</v>
      </c>
      <c r="G17" s="603">
        <f>B17/$B$20</f>
        <v>0.22622090945020043</v>
      </c>
    </row>
    <row r="18" spans="1:13" x14ac:dyDescent="0.25">
      <c r="A18" s="600" t="s">
        <v>330</v>
      </c>
      <c r="B18" s="601">
        <f>SUM(C18:F18)</f>
        <v>1784661.22</v>
      </c>
      <c r="C18" s="598">
        <v>0</v>
      </c>
      <c r="D18" s="598">
        <v>0</v>
      </c>
      <c r="E18" s="599">
        <v>0</v>
      </c>
      <c r="F18" s="601">
        <v>1784661.22</v>
      </c>
      <c r="G18" s="603">
        <f>B18/$B$20</f>
        <v>0.76377908900911229</v>
      </c>
    </row>
    <row r="19" spans="1:13" x14ac:dyDescent="0.25">
      <c r="A19" s="600" t="s">
        <v>325</v>
      </c>
      <c r="B19" s="601">
        <f>SUM(C19:F19)</f>
        <v>23366.2</v>
      </c>
      <c r="C19" s="602">
        <v>1983.47</v>
      </c>
      <c r="D19" s="598">
        <v>0.4</v>
      </c>
      <c r="E19" s="601">
        <v>3355.45</v>
      </c>
      <c r="F19" s="601">
        <v>18026.88</v>
      </c>
      <c r="G19" s="603">
        <f>B19/$B$20</f>
        <v>1.0000001540687212E-2</v>
      </c>
    </row>
    <row r="20" spans="1:13" x14ac:dyDescent="0.25">
      <c r="A20" s="599" t="s">
        <v>328</v>
      </c>
      <c r="B20" s="601">
        <f t="shared" ref="B20:G20" si="0">SUM(B17:B19)</f>
        <v>2336619.64</v>
      </c>
      <c r="C20" s="602">
        <f t="shared" si="0"/>
        <v>198347.1</v>
      </c>
      <c r="D20" s="602">
        <f t="shared" si="0"/>
        <v>39.69</v>
      </c>
      <c r="E20" s="601">
        <f t="shared" si="0"/>
        <v>335544.75</v>
      </c>
      <c r="F20" s="601">
        <f t="shared" si="0"/>
        <v>1802688.0999999999</v>
      </c>
      <c r="G20" s="603">
        <f t="shared" si="0"/>
        <v>1</v>
      </c>
    </row>
    <row r="23" spans="1:13" x14ac:dyDescent="0.25">
      <c r="A23" s="586" t="s">
        <v>369</v>
      </c>
    </row>
    <row r="24" spans="1:13" x14ac:dyDescent="0.25">
      <c r="A24" s="806" t="s">
        <v>323</v>
      </c>
      <c r="B24" s="806" t="s">
        <v>326</v>
      </c>
      <c r="C24" s="806" t="s">
        <v>327</v>
      </c>
      <c r="D24" s="806"/>
      <c r="E24" s="806"/>
      <c r="F24" s="806"/>
      <c r="G24" s="806" t="s">
        <v>95</v>
      </c>
      <c r="M24" s="245" t="s">
        <v>74</v>
      </c>
    </row>
    <row r="25" spans="1:13" x14ac:dyDescent="0.25">
      <c r="A25" s="806"/>
      <c r="B25" s="806"/>
      <c r="C25" s="598">
        <v>2020</v>
      </c>
      <c r="D25" s="598">
        <v>2021</v>
      </c>
      <c r="E25" s="599">
        <v>2022</v>
      </c>
      <c r="F25" s="599">
        <v>2023</v>
      </c>
      <c r="G25" s="806"/>
    </row>
    <row r="26" spans="1:13" ht="30" x14ac:dyDescent="0.25">
      <c r="A26" s="600" t="s">
        <v>324</v>
      </c>
      <c r="B26" s="601">
        <f>SUM(C26:F26)</f>
        <v>359330.14999999997</v>
      </c>
      <c r="C26" s="591">
        <v>27101.599999999999</v>
      </c>
      <c r="D26" s="591">
        <v>39.25</v>
      </c>
      <c r="E26" s="590">
        <v>332189.3</v>
      </c>
      <c r="F26" s="590">
        <v>0</v>
      </c>
      <c r="G26" s="604">
        <f>B26/$B$29</f>
        <v>0.16222580153969809</v>
      </c>
    </row>
    <row r="27" spans="1:13" x14ac:dyDescent="0.25">
      <c r="A27" s="600" t="s">
        <v>330</v>
      </c>
      <c r="B27" s="601">
        <f>SUM(C27:F27)</f>
        <v>1831544.4</v>
      </c>
      <c r="C27" s="591">
        <v>46883.18</v>
      </c>
      <c r="D27" s="591">
        <v>0</v>
      </c>
      <c r="E27" s="590">
        <v>0</v>
      </c>
      <c r="F27" s="590">
        <v>1784661.22</v>
      </c>
      <c r="G27" s="604">
        <f>B27/$B$29</f>
        <v>0.82688234857427201</v>
      </c>
    </row>
    <row r="28" spans="1:13" x14ac:dyDescent="0.25">
      <c r="A28" s="600" t="s">
        <v>325</v>
      </c>
      <c r="B28" s="601">
        <f>SUM(C28:F28)</f>
        <v>24125.447469999999</v>
      </c>
      <c r="C28" s="591">
        <v>2742.72</v>
      </c>
      <c r="D28" s="591">
        <v>0.4</v>
      </c>
      <c r="E28" s="590">
        <v>3355.4474700000001</v>
      </c>
      <c r="F28" s="590">
        <v>18026.88</v>
      </c>
      <c r="G28" s="604">
        <f>B28/$B$29</f>
        <v>1.0891849886029968E-2</v>
      </c>
    </row>
    <row r="29" spans="1:13" x14ac:dyDescent="0.25">
      <c r="A29" s="599" t="s">
        <v>328</v>
      </c>
      <c r="B29" s="601">
        <f t="shared" ref="B29:G29" si="1">SUM(B26:B28)</f>
        <v>2214999.9974699998</v>
      </c>
      <c r="C29" s="602">
        <f t="shared" si="1"/>
        <v>76727.5</v>
      </c>
      <c r="D29" s="602">
        <f t="shared" si="1"/>
        <v>39.65</v>
      </c>
      <c r="E29" s="601">
        <f t="shared" si="1"/>
        <v>335544.74747</v>
      </c>
      <c r="F29" s="601">
        <f t="shared" si="1"/>
        <v>1802688.0999999999</v>
      </c>
      <c r="G29" s="603">
        <f t="shared" si="1"/>
        <v>1</v>
      </c>
    </row>
  </sheetData>
  <mergeCells count="13">
    <mergeCell ref="F3:G3"/>
    <mergeCell ref="G4:G5"/>
    <mergeCell ref="C15:F15"/>
    <mergeCell ref="G15:G16"/>
    <mergeCell ref="C24:F24"/>
    <mergeCell ref="G24:G25"/>
    <mergeCell ref="A24:A25"/>
    <mergeCell ref="B24:B25"/>
    <mergeCell ref="A4:A5"/>
    <mergeCell ref="B4:B5"/>
    <mergeCell ref="C4:F4"/>
    <mergeCell ref="A15:A16"/>
    <mergeCell ref="B15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целевые показатели</vt:lpstr>
      <vt:lpstr>перечень объектов</vt:lpstr>
      <vt:lpstr>прил.3</vt:lpstr>
      <vt:lpstr>Лист2</vt:lpstr>
      <vt:lpstr>по МК 56</vt:lpstr>
      <vt:lpstr>прил.4 файл не рабочий</vt:lpstr>
      <vt:lpstr>прил.5 файл не рабочий</vt:lpstr>
      <vt:lpstr>ФАКТ 2022</vt:lpstr>
      <vt:lpstr>Лист3</vt:lpstr>
      <vt:lpstr>Лист5</vt:lpstr>
      <vt:lpstr>Лист1</vt:lpstr>
      <vt:lpstr>'целевые показатели'!Заголовки_для_печати</vt:lpstr>
      <vt:lpstr>'перечень объектов'!Область_печати</vt:lpstr>
      <vt:lpstr>прил.3!Область_печати</vt:lpstr>
      <vt:lpstr>'прил.4 файл не рабочий'!Область_печати</vt:lpstr>
      <vt:lpstr>'прил.5 файл не рабочий'!Область_печати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RMX3630</dc:creator>
  <cp:lastModifiedBy>Глаголева Наталия Николаевна</cp:lastModifiedBy>
  <dcterms:created xsi:type="dcterms:W3CDTF">2006-09-15T16:00:00Z</dcterms:created>
  <dcterms:modified xsi:type="dcterms:W3CDTF">2024-06-18T11:46:35Z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d1639cef55d64fc0ae88100e1e3d4f4e</vt:lpwstr>
  </property>
</Properties>
</file>