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1"/>
  </bookViews>
  <sheets>
    <sheet name="Титул" sheetId="1" r:id="rId1"/>
    <sheet name="Лист1" sheetId="2" r:id="rId2"/>
    <sheet name="2017 год" sheetId="3" r:id="rId3"/>
  </sheets>
  <definedNames>
    <definedName name="_xlnm.Print_Titles" localSheetId="2">'2017 год'!$4:$5</definedName>
    <definedName name="_xlnm.Print_Area" localSheetId="2">'2017 год'!$A$1:$N$100</definedName>
  </definedNames>
  <calcPr fullCalcOnLoad="1"/>
</workbook>
</file>

<file path=xl/comments3.xml><?xml version="1.0" encoding="utf-8"?>
<comments xmlns="http://schemas.openxmlformats.org/spreadsheetml/2006/main">
  <authors>
    <author/>
  </authors>
  <commentList>
    <comment ref="G8" authorId="0">
      <text>
        <r>
          <rPr>
            <b/>
            <sz val="9"/>
            <color indexed="8"/>
            <rFont val="Tahoma"/>
            <family val="2"/>
          </rPr>
          <t xml:space="preserve">punsh:
</t>
        </r>
        <r>
          <rPr>
            <sz val="9"/>
            <color indexed="8"/>
            <rFont val="Tahoma"/>
            <family val="2"/>
          </rPr>
          <t xml:space="preserve">исправлен по отчету по труду за 2014 год
</t>
        </r>
      </text>
    </comment>
    <comment ref="I12" authorId="0">
      <text>
        <r>
          <rPr>
            <b/>
            <sz val="9"/>
            <color indexed="8"/>
            <rFont val="Tahoma"/>
            <family val="2"/>
          </rPr>
          <t xml:space="preserve">punsh:
</t>
        </r>
        <r>
          <rPr>
            <sz val="9"/>
            <color indexed="8"/>
            <rFont val="Tahoma"/>
            <family val="2"/>
          </rPr>
          <t xml:space="preserve">Исправлено 17.04.18 по информации эксперта
</t>
        </r>
      </text>
    </comment>
    <comment ref="M26" authorId="0">
      <text>
        <r>
          <rPr>
            <b/>
            <sz val="9"/>
            <color indexed="8"/>
            <rFont val="Tahoma"/>
            <family val="2"/>
          </rPr>
          <t xml:space="preserve">punsh:
</t>
        </r>
        <r>
          <rPr>
            <sz val="9"/>
            <color indexed="8"/>
            <rFont val="Tahoma"/>
            <family val="2"/>
          </rPr>
          <t>с учетом ввода детского сада на 230 мест в Зареченском мкр</t>
        </r>
      </text>
    </comment>
    <comment ref="B86" authorId="0">
      <text>
        <r>
          <rPr>
            <b/>
            <sz val="9"/>
            <color indexed="8"/>
            <rFont val="Tahoma"/>
            <family val="2"/>
          </rPr>
          <t xml:space="preserve">punsh:
</t>
        </r>
        <r>
          <rPr>
            <sz val="9"/>
            <color indexed="8"/>
            <rFont val="Tahoma"/>
            <family val="2"/>
          </rPr>
          <t xml:space="preserve">3 знака после запятой!
</t>
        </r>
      </text>
    </comment>
    <comment ref="N86" authorId="0">
      <text>
        <r>
          <rPr>
            <b/>
            <sz val="9"/>
            <color indexed="8"/>
            <rFont val="Tahoma"/>
            <family val="2"/>
          </rPr>
          <t xml:space="preserve">punsh:
</t>
        </r>
        <r>
          <rPr>
            <sz val="9"/>
            <color indexed="8"/>
            <rFont val="Tahoma"/>
            <family val="2"/>
          </rPr>
          <t>естествееная убыль поставлена по указанию Гришаевой Е.Н. по нашей оперативке - 1658</t>
        </r>
      </text>
    </comment>
  </commentList>
</comments>
</file>

<file path=xl/sharedStrings.xml><?xml version="1.0" encoding="utf-8"?>
<sst xmlns="http://schemas.openxmlformats.org/spreadsheetml/2006/main" count="419" uniqueCount="171">
  <si>
    <t>ДОКЛАД</t>
  </si>
  <si>
    <t>главы администрации города Орла А.С. Муромского</t>
  </si>
  <si>
    <t>Городской округ "Город Орел"</t>
  </si>
  <si>
    <t>о достигнутых значениях показателей для оценки</t>
  </si>
  <si>
    <t>эффективности деятельности органов местного самоуправления</t>
  </si>
  <si>
    <t>городских округов и муниципальных районов за 2017 год и их</t>
  </si>
  <si>
    <t>планируемых значениях на 3-летний период</t>
  </si>
  <si>
    <t>Подпись _______________</t>
  </si>
  <si>
    <t xml:space="preserve"> Дата __ ______ 2018 год</t>
  </si>
  <si>
    <t xml:space="preserve"> Показатели эффективности деятельности органов местного самоуправления </t>
  </si>
  <si>
    <t xml:space="preserve"> (официальное наименование городского округа (муниципального района)</t>
  </si>
  <si>
    <t>№ п/п</t>
  </si>
  <si>
    <t>Наименование показателя</t>
  </si>
  <si>
    <t>Ед. изм.</t>
  </si>
  <si>
    <t>отчет</t>
  </si>
  <si>
    <t>прогноз</t>
  </si>
  <si>
    <t>Примечание</t>
  </si>
  <si>
    <t>Экономическое развитие</t>
  </si>
  <si>
    <t xml:space="preserve">  Число субъектов малого и среднего  предпринимательства в расчете на 10 тыс.человек населения</t>
  </si>
  <si>
    <t xml:space="preserve">  единиц на 10 тыс. человек населения</t>
  </si>
  <si>
    <t xml:space="preserve">Расчет показателей за  2014-2015 годы  производился по субъектам малого и среднего предпринимательства, зарегистрированным в государственном статистическом регистре по городу Орлу на конец года:  в 2014 году - 14174 ед., в 2015 году  - 14800.  В 2016 году показатель приводится по итогам сплошного наблюдения Орелстата за деятельностью субъектов малого предпринимательства.  В 2017 году по данным Единого реестра субъектов среднего и малого предпринимательства ФНС России в городе Орле зарегистрировано 14488 субъектов, в 2018 году ожидается увеличение до 14550 субъектов, прогнозируется в 2019 году - 14570, в 2020 году - 14600.
</t>
  </si>
  <si>
    <t xml:space="preserve">  Доля среднесписочной   численности работников (без  внешних совместителей) малых и  средних предприятий в   среднесписочной численности  работников (без внешних  совместителей) всех  предприятий и организаций</t>
  </si>
  <si>
    <t>процентов</t>
  </si>
  <si>
    <t>Показатель 2017 года принят по итогам  сплошного наблюдения Орелстата за деятельностью субъектов малого предпринимательства. Показатель 2016 года уточнен по данным Орелстата (среднесписочная численность по полному кругу предприятий и организаций - 118342 человека, из них численность работников в субъектах малого и среднего предпринимательства - 31677 человек, в т.ч. 27179 человек – в малых предприятиях, 4498 человека – в средних предприятиях)</t>
  </si>
  <si>
    <t xml:space="preserve">  Объем инвестиций в основной капитал (за исключением бюджетных средств) в расчете на 1 жителя       </t>
  </si>
  <si>
    <t>рублей</t>
  </si>
  <si>
    <t>Расчет плановых значений показателя произведен в действующих ценах каждого года на основании прогноза социально-экономического развития города Орла на 2018-2020 годы</t>
  </si>
  <si>
    <t>Доля площади земельных участков, являющихся объектами  налогообложения земельным  налогом, в общей площади территории городского округа    (муниципального района)</t>
  </si>
  <si>
    <t xml:space="preserve">В общую площадь земельных участков, являющихся объектами налогообложения, включены участки, расположенные на территории города Орла, стоящие на кадастровом учете по налогооблагаемым видам права (66154 земельных участка общей площадью 9484,6 га) по данным ФГБОУ "Федеральная кадастровая палата Федеральной службы государственной регистрации , кадастра и картографии по Орловской области". </t>
  </si>
  <si>
    <t xml:space="preserve">Число прибыльных сельскохозяйственных организаций (для муниципальных  районов)                </t>
  </si>
  <si>
    <t>единиц</t>
  </si>
  <si>
    <t>Показатели по городскому округу "Город Орёл" не представляются</t>
  </si>
  <si>
    <t xml:space="preserve">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   </t>
  </si>
  <si>
    <t xml:space="preserve"> процентов</t>
  </si>
  <si>
    <t>В соответствии с методическими рекомендациями в 2017 году информация представлена на основании федерального статистического наблюдения по форме № 3-ДГ (мо).  Общая протяженность улиц, проездов, набережных на конец 2017 года составляла 460,5 км, из них с усовершенствованным покрытием - 303,9 км, не имело усовершенствованного покрытия 156,6 км. В 2018 году планируется строительство дороги по ул.Родзевича-Белевича протяженностью 0,8 км. 
За период 2014-2016 годы произведен ретроспективный перерасчет показателя.</t>
  </si>
  <si>
    <t xml:space="preserve"> Доля населения, проживающего в населенных пунктах, не имеющих регулярного автобусного и (или) железнодорожного сообщения с административным центром городского округа  (муниципального района), в общей численности населения городского округа (муниципального района)</t>
  </si>
  <si>
    <t xml:space="preserve">  Среднемесячная номинальная начисленная заработная плата работников:</t>
  </si>
  <si>
    <t xml:space="preserve">      крупных и средних предприятий и некоммерческих организаций</t>
  </si>
  <si>
    <t>Снижение в 2017 году показателя заработной платы муниципальных учреждений физической культуры и спорта по сравнению с 2016 годом  связано с перерегистрацией видов деятельности учреждений с ОКВЭД на ОКВЭД 2 в соответствии с приказом Росстандарта от 10.11.2015 N 1745-ст, в результате в 2017 году ДЮСШ перешли из данной категории в образовательные учреждения. Ретроспективный перерасчет Орелстатом не производился. В сопоставимых с 2016 годом условиях данный показатель в 2017 году составил 21448 рублей.</t>
  </si>
  <si>
    <t xml:space="preserve">      муниципальных дошкольных образовательных учреждений          </t>
  </si>
  <si>
    <t xml:space="preserve">      муниципальных общеобразовательных   учреждений:                 </t>
  </si>
  <si>
    <t xml:space="preserve">       учителей муниципальных  общеобразовательных  учреждений       </t>
  </si>
  <si>
    <t>муниципальных учреждений культуры и искусства</t>
  </si>
  <si>
    <t xml:space="preserve">      муниципальных учреждений физической культуры и спорта</t>
  </si>
  <si>
    <t>Дошкольное образование</t>
  </si>
  <si>
    <t xml:space="preserve"> Доля детей в возрасте   1-6 лет, получающих дошкольную образовательную услугу и (или) услугу по их содержанию в  муниципальных образовательных учреждениях в общей численности детей в возрасте 1-6 лет</t>
  </si>
  <si>
    <t xml:space="preserve">В 2017 году за счет эффективного использования имеющихся площадей в дошкольных учреждениях создано 490 дополнительных мест. В 2019 году за счет средств федерального и областного бюджета планируется строительство детского сада на 230 мест в микрорайоне "Зареченский". </t>
  </si>
  <si>
    <t xml:space="preserve">   Доля детей в возрасте 1 - 6  лет, состоящих на учете для  определения в муниципальные  дошкольные образовательные  учреждения, в общей  численности детей в возрасте 1- 6 лет</t>
  </si>
  <si>
    <t xml:space="preserve"> Муниципальные дошкольные образовательные учреждения города посещают и стоят на очереди дети, родители которых не зарегистрированы в городе Орле. В связи с этим сумма показателей 9 и 10 превышает 100%. </t>
  </si>
  <si>
    <t xml:space="preserve">Доля муниципальных дошкольных образовательных учреждений, здания которых находятся в аварийном состоянии или требуют  капитального ремонта, в общем числе муниципальных дошкольных образовательных учреждений    </t>
  </si>
  <si>
    <t>В 2017 году на капитальный ремонт закрыт МБДОУ "Детский сад № 2 общеразвивающего вида с приоритетным осуществлением деятельности по социально-личностному направлению развития детей" г.Орла в связи с о снижением несущей способности и эксплуатационных характеристик здания. Ремонт планируется завершить в 2019 году</t>
  </si>
  <si>
    <t>Общее и дополнительное образование</t>
  </si>
  <si>
    <t xml:space="preserve">  Доля выпускников муниципальных  общеобразовательных учреждений, не получивших  аттестат о среднем (полном) образовании, в общей численности выпускников муниципальных общеобразовательных учреждений  </t>
  </si>
  <si>
    <t xml:space="preserve">В 2017 году количество выпускников – 1355, не получили аттестат 7 человек или 0,5% от общего количества выпускников. </t>
  </si>
  <si>
    <t>Доля муниципальных общеобразовательных учреждений, соответствующих современным требованиям обучения, в общем количестве муниципальных общеобразовательных учреждений</t>
  </si>
  <si>
    <t>Доля муниципальных  общеобразовательных учреждений, здания которых находятся в аварийном состоянии или требуют капитального ремонта, в общем количестве муниципальных общеобразовательных учреждений</t>
  </si>
  <si>
    <t xml:space="preserve">   Доля детей первой и второй групп здоровья в общей численности обучающихся в муниципальных общеобразовательных учреждениях </t>
  </si>
  <si>
    <t xml:space="preserve"> В 2017 году среднесписочное количество обучающихся - 31875 человек, к 1-ой и 2-ой  группе здоровья относится 27850 человек.</t>
  </si>
  <si>
    <t>Доля обучающихся в муниципальных общеобразовательных учреждениях, занимающихся во вторую (третью) смену, в общей численности обучающихся в муниципальных общеобразовательных учреждениях</t>
  </si>
  <si>
    <t xml:space="preserve">В 2017 году среднесписочное количество обучающихся всего составляет  – 31875 человек, количество занимающихся во вторую смену -  7279 человек. </t>
  </si>
  <si>
    <t xml:space="preserve"> Расходы бюджета муниципального образования в расчете на одного обучающегося в муниципальных общеобразовательных учреждениях  </t>
  </si>
  <si>
    <t xml:space="preserve">  тыс.рублей</t>
  </si>
  <si>
    <t>Расчет показателя в 2017 году произведен без учета трансфертов из областного бюджета. Соответственно произведен ретроспективный перерасчет показателей за 2014-2016 годы. Рост показателя в 2017 году по сравнению с 2016 годом связан с оплатой в 2017 году кредиторской задолженности учреждений образования за 2016 год.</t>
  </si>
  <si>
    <t>Доля детей в возрасте 5-18 лет, получающих услуги по  дополнительному образованию в организациях различной организационно-правовой формы и формы собственности, в общей численности детей данной возрастной группы</t>
  </si>
  <si>
    <t xml:space="preserve">  человек</t>
  </si>
  <si>
    <t>В 2017 году расчет показателя произведен с учетом детей, занимающихся в областных учреждениях дополнительного образования,  расположенных на территории города Орла. В 2017 году в муниципальных учреждениях дополнительного образования занимались 18318 детей ( в 2016 году - 18068), в школах искусств - 5377 детей(в 2016 году - 5401), в областных учреждениях - 13276 детей (в 2016 году - 13848), в частных организациях - 398 детей. С 2018 года показатель снижается в связи с тем, что в конце 2017 года учреждения дополнительного образования, подведомственные Управлению физической культуры и спорта Орловской области, были реорганизованы в организации спортивной подготовки, которые не предоставляют услуги по дополнительному образованию, а поэтому из расчета  исключены</t>
  </si>
  <si>
    <t>Культура</t>
  </si>
  <si>
    <t>Уровень фактической  обеспеченности учреждениями  культуры от  нормативной потребности:</t>
  </si>
  <si>
    <t xml:space="preserve">В 2017 году количество учреждений культуры по сравнению с 2016 годом и 2015 годом не изменилось. Изменение удельных показателей обеспеченности в 2016 году по сравнению с 2015 годом связано с тем, что их расчет за 2016 год произведен по новым нормативам, утвержденным распоряжением Правительства РФ от 26.01.2017 года №95-р "О внесении изменений в социальные нормативы и нормы, одобренные распоряжением Правительства РФ от 03.07.1996 N 1063-р". Ретроспективный пересчет по данным нормативам за 2014-2015 год не производился.
</t>
  </si>
  <si>
    <t xml:space="preserve">          клубами и учреждениями клубного типа       </t>
  </si>
  <si>
    <t xml:space="preserve">          библиотеками                  </t>
  </si>
  <si>
    <t xml:space="preserve">          парками культуры и отдыха    </t>
  </si>
  <si>
    <t>Доля муниципальных  учреждений культуры, здания которых находятся в аварийном состоянии или требуют капитального ремонта, в общем количестве муниципальных учреждений культуры</t>
  </si>
  <si>
    <t>Доля объектов культурного наследия, находящихся в муниципальной собственности и требующих консервации или реставрации, в общем количестве объектов культурного наследия, находящихся в муниципальной собственности</t>
  </si>
  <si>
    <t>В городе Орле 44 объекта культурного наследия местной категории охраны. В 2017 году отремонтированы 2 объекта, подлежат реставрации 22 объекта.  В 2018-2020 годах ежегодно планируется проводить ремонт не менее 2 объектов</t>
  </si>
  <si>
    <t>Физическая культура и спорт</t>
  </si>
  <si>
    <t xml:space="preserve">Доля населения, систематически занимающегося физической культурой и спортом               </t>
  </si>
  <si>
    <t>Численность занимающихся физической культурой и спортом, в 2017 году составило 63213 человек. Рост показателя планируется за счет реализации ВЦП «Развитие физической культуры и массового спорта в городе Орле на 2017–2019 годы»</t>
  </si>
  <si>
    <t>23 (1)</t>
  </si>
  <si>
    <t>Доля обучающихся, систематически занимающихся физической культурой и спортом, в общей численности обучающихся</t>
  </si>
  <si>
    <t>х</t>
  </si>
  <si>
    <t xml:space="preserve">Число обучающихся, систематически занимающихся физической культурой и спортом в спортивных организациях всех видов и форм собственности в 2017 году составило 15585 человек, что на 960 человек больше, чем в 2016 году. </t>
  </si>
  <si>
    <t>Жилищное строительство и обеспечение граждан жильем</t>
  </si>
  <si>
    <t xml:space="preserve"> Общая площадь жилых помещений, приходящаяся в среднем на одного жителя - всего</t>
  </si>
  <si>
    <t xml:space="preserve"> кв. метров</t>
  </si>
  <si>
    <t>В 2017 году  введено 112 тыс.кв.м жилья, по прогнозу в 2018 году будет введено 129,0 тыс.кв.м, в 2019 году - 118,2 тыс.кв.м, в 2020 году - 129,5 тыс.кв.м</t>
  </si>
  <si>
    <t xml:space="preserve"> в т. ч. введенная в действие за год     </t>
  </si>
  <si>
    <t xml:space="preserve">Площадь земельных участков,  предоставленных для  строительства, в расчете на 10 тыс.человек населения - всего      </t>
  </si>
  <si>
    <t xml:space="preserve"> га</t>
  </si>
  <si>
    <t xml:space="preserve">Показатель 2017 года представлен по итогам работы администрации города Орла по формированию  земельных участков и утверждению схем расположения на кадастровых планах территорий. Значения показателей на 2018 -2020 годы не представлены, так как на территории города Орла </t>
  </si>
  <si>
    <t xml:space="preserve">               в том числе:</t>
  </si>
  <si>
    <t>практически отсутствуют земельные участки, свободные от застройки и обременений, освоение которых возможно в целях жилищного строительства и комплексного освоения</t>
  </si>
  <si>
    <t xml:space="preserve"> для жилищного строительства, индивидуального жилищного строительства и комплексного освоения в целях жилищного строительства      </t>
  </si>
  <si>
    <t xml:space="preserve"> Площадь земельных участков, предоставленных для строительства, в отношении которых с даты принятия решения о предоставлении земельного участка или  подписания протокола о результатах торгов (конкурсов,  аукционов) не было получено разрешение на ввод в эксплуатацию:</t>
  </si>
  <si>
    <t xml:space="preserve">      объектов жилищного строительства - в течение 3 лет             </t>
  </si>
  <si>
    <t xml:space="preserve">  кв. метров</t>
  </si>
  <si>
    <t>-</t>
  </si>
  <si>
    <t xml:space="preserve">      иных объектов капитального строительства - в течение 5 лет      </t>
  </si>
  <si>
    <t>Жилищно-коммунальное хозяйство</t>
  </si>
  <si>
    <t>Доля многоквартирных домов, в  которых собственники помещений выбрали и реализуют один из способов управления многоквартирными домами, в общем числе многоквартирных домов, в которых собственники должны выбрать способ управления данными домами</t>
  </si>
  <si>
    <t xml:space="preserve">В 2017 году из 1904 многоквартирных домов, в которых собственники должны выбрать способ управления, 6 домов управляются управляющими организациями по результатам проведенных администрацией города Орла открытых конкурсов, 75 дома на 01.01.2018 года не имели договоров управления, т.к. в данных домах либо закончился срок действия договоров управления и управляющие организации не пролонгировали их на новый срок, либо расторгли в одностороннем порядке в связи с признанием дома в установленном порядке аварийным. </t>
  </si>
  <si>
    <t>Доля организаций коммунального комплекса, осуществляющих производство товаров, оказание   услуг по водо-, тепло-, газо-, электроснабжению, водоотведению, очистке сточных вод, утилизации (захоронению) твердых бытовых отходов и  использующих объекты  коммунальной инфраструктуры на праве частной собственности, по договору аренды или  концессии, участие субъекта  Российской Федерации и (или) городского округа (муниципального района) в уставном капитале которых  составляет не более 25 процентов, в общем числе организаций коммунального комплекса, осуществляющих свою деятельность на территории городского округа  (муниципального района)</t>
  </si>
  <si>
    <t xml:space="preserve">По данным Управления по тарифам и ценовой политике в Орловской области в 2017 году в городе Орле осуществляли деятельность 38 организаций коммунального комплекса, из них 36 организации, в уставном капитале которых доля государственной и муниципальной собственности менее 25%.   </t>
  </si>
  <si>
    <t xml:space="preserve"> Доля многоквартирных домов, расположенных на земельных участках, в отношении которых  осуществлен государственный кадастровый учет</t>
  </si>
  <si>
    <t>На территории города Орла земельные участки, на которых расположены многоквартирные дома, имеют кадастровый номер и являются ранее учтенными, т.е. в отношении них осуществлен государственный кадастровый учет.</t>
  </si>
  <si>
    <t xml:space="preserve"> Доля населения, получившего жилые помещения и улучшившие жилищные условия в отчетном году, в общей численности населения, состоящего на учете в качестве нуждающегося в жилых помещениях</t>
  </si>
  <si>
    <t xml:space="preserve"> В 2017 году улучшили жилищные условия 147 семей, на учете в качестве нуждающихся в жилых помещениях на конец 2016 года состояли 4582 семьи,  (в 2016 году - улучшили жилищные условия 325 семей, на учете в качестве нуждающихся в жилых помещениях на конец 2015 года состояли 5147 семей). Уменьшение показателя связано с завершением в августе 2017 года реализации областной адресной программы "Переселение граждан, проживающих на территории Орловской области, из аварийного жилищного фонда" на 2013-2017 годы", утв. постановлением Правительства Орловской области от 30.04.2013 №148</t>
  </si>
  <si>
    <t>VIII. Организация муниципального управления</t>
  </si>
  <si>
    <t xml:space="preserve">  Доля налоговых и неналоговых  доходов местного бюджета (за исключением поступлений налоговых доходов по дополнительным нормативам отчислений) в общем объеме  собственных доходов бюджета муниципального образования  (без учета субвенций)</t>
  </si>
  <si>
    <t>Доля налоговых и неналоговых доходов городского бюджета в общем объеме  доходов (за исключением субвенций) в 2017 году составила 74,9%. По сравнению с 2016 годом этот показатель увеличился на 17,7  процентных пункта за счет улучшения динамики налоговых и неналоговых доходов по сравнению с безвозмездными поступлениями, относящимися к собственным доходам бюджета. По сравнению с 2016 годом собственные доходы бюджета уменьшились на 960,8 млн.рублей (на 24,1%), при этом налоговые и неналоговые доходы уменьшились на 14,6 млн.рублей (на 0,6%).   
Высокие показатели 2017-2019 годов  обусловлены несопоставимостью объемов межбюджетных трансфертов (первоначально при утверждении бюджета доводятся, в основном субвенции на переданные полномочия, субсидии и иные межбюджетные трансферты выделяются в процессе исполнения бюджета, что к концу года снижает долю налоговых и неналоговых доходов).</t>
  </si>
  <si>
    <t xml:space="preserve">  Доля основных фондов организаций муниципальной формы собственности, находящихся в стадии банкротства, в основных фондах организаций муниципальной  формы собственности (на конец  года, по полной учетной стоимости) </t>
  </si>
  <si>
    <t>Рост показателя в 2017 году по сравнению с 2016 годом связан с введением процедуры банкротства в МУ ПАТП-1 (21,9 млн.рублей),  АО "Зеленый берег" (0,55 млн.рублей), кроме того, в стадии банкротства на конец 2017 года находились МУП "Совхоз "Коммунальник" (8,4 млн.рублей) и МУП "ДЭУ"(0,002 млн.рублей). Полная учетная стоимость основных фондов организаций муниципальной формы собственности - 18892,6 млн.рублей (по данным Орелстата).</t>
  </si>
  <si>
    <t xml:space="preserve">Объем не завершенного в установленные сроки строительства, осуществляемого за счет средств бюджета городского округа  (муниципального района)     </t>
  </si>
  <si>
    <t xml:space="preserve">  тыс. рублей</t>
  </si>
  <si>
    <t xml:space="preserve"> Доля просроченной кредиторской задолженности по оплате труда (включая начисления на оплату труда) муниципальных учреждений в общем объеме расходов муниципального образования на оплату труда (включая начисления на оплату труда)</t>
  </si>
  <si>
    <t>Доля просроченной кредиторской задолженности по оплате труда в размере 3,9% в 2017 году сложилась в связи с недофинансированием расходов по начислениям на заработную плату во внебюджетные фонды.</t>
  </si>
  <si>
    <t>Расходы бюджета   муниципального образования на  содержание работников органов   местного самоуправления в расчете на одного жителя -   всего</t>
  </si>
  <si>
    <t>Расходы на содержание работников местного самоуправления в 2017 году по сравнению с 2016 годом увеличились на 17624,2 тыс. рублей или на 6 %. В 2018 году расходы запланированы с уменьшением на 36235,0 тыс.рублей по сравнению с 2017 годом или на 11,7% к фактическим расходам 2017 года.  Рост показателя также обусловлен снижением численности населения в 2017 году на 2,2 тыс.человек (на 0,7%) по сравнению с 2016 годом</t>
  </si>
  <si>
    <t>Наличие в городском округе (муниципальном районе) утвержденного генерального плана городского округа (схемы территориального планирования муниципального района)</t>
  </si>
  <si>
    <t>да/нет</t>
  </si>
  <si>
    <t>да</t>
  </si>
  <si>
    <t>Генеральный план городского округа "Город Орел" утвержден решением Орловского городского Совета народных депутатов от 28.02.2008 №29/425-ГС.</t>
  </si>
  <si>
    <t>Удовлетворенность населения деятельностью органов местного самоуправления городского округа (муниципального района)</t>
  </si>
  <si>
    <t>процентов от числа опрошенных</t>
  </si>
  <si>
    <t>Показатель определяется субъектом РФ в соответствии с Указом Губернатора Орловской области от 11.02.2014 №42</t>
  </si>
  <si>
    <t xml:space="preserve"> Среднегодовая численность  постоянного населения     </t>
  </si>
  <si>
    <t xml:space="preserve">  тыс. человек</t>
  </si>
  <si>
    <t xml:space="preserve">В 2017 году миграционная убыль составила 1642 человека (в 2016 году был прирост 496 чел.), естественная убыль составила 1683 человека, увеличилась по сравнению с 2016 годом на 11,2%. </t>
  </si>
  <si>
    <t>Энергосбережение и повышение энергетической эффективности</t>
  </si>
  <si>
    <t xml:space="preserve">  Удельная величина потребления энергетических  ресурсов в многоквартирных  домах:</t>
  </si>
  <si>
    <t>Показатель уменьшается в связи с тем, что в соответствии с Федеральным законом от 23.11.2009 №216-ФЗ в многоквартирных домах города Орла устанавливаются общедомовые и индивидуальные приборы учета энергоресурсов. Следует отметить, что снижение потребления электроэнергии в многоквартирных домах замедляется, так как новые высотные многоквартирные дома оборудуются электроплитами, и удельный вес многоквартирных домов, оборудованных газовыми приборами, уменьшается</t>
  </si>
  <si>
    <t xml:space="preserve">          электрическая энергия        </t>
  </si>
  <si>
    <t xml:space="preserve"> кВт·ч на 1 проживающего</t>
  </si>
  <si>
    <t xml:space="preserve">          тепловая энергия            </t>
  </si>
  <si>
    <t xml:space="preserve"> Гкал на 1 кв.  метр общей площади</t>
  </si>
  <si>
    <t xml:space="preserve">          горячая вода                </t>
  </si>
  <si>
    <t>куб. метров на 1 проживающего</t>
  </si>
  <si>
    <t xml:space="preserve">          холодная вода               </t>
  </si>
  <si>
    <t xml:space="preserve">          природный газ                  </t>
  </si>
  <si>
    <t xml:space="preserve"> Удельная величина потребления  энергетических ресурсов   муниципальными бюджетными  учреждениями</t>
  </si>
  <si>
    <t xml:space="preserve">Муниципальные бюджетные учреждения в 2017 году реализовывали мероприятия по энергосбережению  муниципальной программы "Энергосбережение и повышение энергетической эффективности в городе Орле на 2017-2019 годы". 
Увеличение потребления газа в 2017 году по сравнению с 2016 годом связано с переходом с 01.01.2017 года трех школ (МБОУ СОШ №27, №51, №52) и и четырех детских садов (№92, №93, №94, №95) на отопление газом. Одновременно с этим расходы на тепловую энергию сократились в 1,4 раза. 
Рост в 2018-2020 годах удельных показателей в расчете на душу населения связано с прогнозируемым уменьшением численности населения </t>
  </si>
  <si>
    <t xml:space="preserve">          электрическая энергия         </t>
  </si>
  <si>
    <t>кВт·ч на 1 человека  населения</t>
  </si>
  <si>
    <t xml:space="preserve">          тепловая энергия               </t>
  </si>
  <si>
    <t>Гкал на 1 кв. метр общей площади</t>
  </si>
  <si>
    <t xml:space="preserve">          горячая вода                  </t>
  </si>
  <si>
    <t>куб. метров на 1 человека населения</t>
  </si>
  <si>
    <t xml:space="preserve">          холодная вода                  </t>
  </si>
  <si>
    <t>доделать:
показатель -
30</t>
  </si>
  <si>
    <t>полный круг</t>
  </si>
  <si>
    <t xml:space="preserve">малые </t>
  </si>
  <si>
    <t>средние</t>
  </si>
  <si>
    <t>численность детей в д/с</t>
  </si>
  <si>
    <t>численность детей от 1 до 6 лет</t>
  </si>
  <si>
    <t>численность детей, стоящих на учете</t>
  </si>
  <si>
    <t>управление образования</t>
  </si>
  <si>
    <t>Управление образования области</t>
  </si>
  <si>
    <t>Управление физкультуры области</t>
  </si>
  <si>
    <t>школы искусств</t>
  </si>
  <si>
    <t>частные</t>
  </si>
  <si>
    <t>численность детей 5-18 лет</t>
  </si>
  <si>
    <t>по отношению к 3-79</t>
  </si>
  <si>
    <t>численность 3-79 лет</t>
  </si>
  <si>
    <t>по отоншению к 0-17</t>
  </si>
  <si>
    <t>по отчету 1-ФК, который делает Афонин - 14625 чел.</t>
  </si>
  <si>
    <t>Взята эта цифра в отчет</t>
  </si>
  <si>
    <t>Численность учащихся</t>
  </si>
  <si>
    <t>численность от 0 до 17 лет</t>
  </si>
  <si>
    <t>Численность на начало года</t>
  </si>
  <si>
    <t>Численность на конец года</t>
  </si>
  <si>
    <t>исполнитель: З.Е. Кульпина, тел.47 48 68</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</si>
</sst>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s>
  <fonts count="53">
    <font>
      <sz val="10"/>
      <name val="Arial Cyr"/>
      <family val="2"/>
    </font>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Times New Roman"/>
      <family val="1"/>
    </font>
    <font>
      <sz val="12"/>
      <name val="Times New Roman"/>
      <family val="1"/>
    </font>
    <font>
      <b/>
      <sz val="16"/>
      <name val="Times New Roman"/>
      <family val="1"/>
    </font>
    <font>
      <b/>
      <sz val="12"/>
      <name val="Times New Roman"/>
      <family val="1"/>
    </font>
    <font>
      <b/>
      <sz val="10"/>
      <name val="Times New Roman"/>
      <family val="1"/>
    </font>
    <font>
      <sz val="14"/>
      <color indexed="9"/>
      <name val="Times New Roman"/>
      <family val="1"/>
    </font>
    <font>
      <b/>
      <sz val="14"/>
      <name val="Times New Roman"/>
      <family val="1"/>
    </font>
    <font>
      <sz val="14"/>
      <name val="Times New Roman"/>
      <family val="1"/>
    </font>
    <font>
      <sz val="7"/>
      <name val="Times New Roman"/>
      <family val="1"/>
    </font>
    <font>
      <sz val="12"/>
      <name val="Arial Cyr"/>
      <family val="2"/>
    </font>
    <font>
      <sz val="8"/>
      <name val="Arial Cyr"/>
      <family val="2"/>
    </font>
    <font>
      <sz val="14"/>
      <name val="Arial Cyr"/>
      <family val="2"/>
    </font>
    <font>
      <vertAlign val="superscript"/>
      <sz val="12"/>
      <name val="Times New Roman"/>
      <family val="1"/>
    </font>
    <font>
      <sz val="8"/>
      <name val="Times New Roman"/>
      <family val="1"/>
    </font>
    <font>
      <sz val="7"/>
      <name val="Arial Cyr"/>
      <family val="2"/>
    </font>
    <font>
      <sz val="10"/>
      <color indexed="10"/>
      <name val="Arial Cyr"/>
      <family val="2"/>
    </font>
    <font>
      <b/>
      <sz val="9"/>
      <color indexed="8"/>
      <name val="Tahoma"/>
      <family val="2"/>
    </font>
    <font>
      <sz val="9"/>
      <color indexed="8"/>
      <name val="Tahoma"/>
      <family val="2"/>
    </font>
    <font>
      <sz val="12"/>
      <color indexed="10"/>
      <name val="Times New Roman"/>
      <family val="1"/>
    </font>
    <font>
      <sz val="7"/>
      <color indexed="10"/>
      <name val="Times New Roman"/>
      <family val="1"/>
    </font>
    <font>
      <sz val="10"/>
      <color indexed="10"/>
      <name val="Times New Roman"/>
      <family val="1"/>
    </font>
    <font>
      <sz val="7"/>
      <color indexed="10"/>
      <name val="Arial Cyr"/>
      <family val="2"/>
    </font>
    <font>
      <sz val="8"/>
      <color indexed="10"/>
      <name val="Times New Roman"/>
      <family val="1"/>
    </font>
    <font>
      <sz val="10"/>
      <color indexed="12"/>
      <name val="Times New Roman"/>
      <family val="1"/>
    </font>
    <font>
      <sz val="12"/>
      <color indexed="12"/>
      <name val="Times New Roman"/>
      <family val="1"/>
    </font>
    <font>
      <sz val="7"/>
      <color indexed="12"/>
      <name val="Times New Roman"/>
      <family val="1"/>
    </font>
    <font>
      <sz val="8"/>
      <color indexed="12"/>
      <name val="Times New Roman"/>
      <family val="1"/>
    </font>
    <font>
      <sz val="12"/>
      <color indexed="10"/>
      <name val="Arial Cyr"/>
      <family val="2"/>
    </font>
    <font>
      <sz val="8"/>
      <color indexed="10"/>
      <name val="Arial Cyr"/>
      <family val="2"/>
    </font>
    <font>
      <sz val="10"/>
      <color indexed="9"/>
      <name val="Times New Roman"/>
      <family val="1"/>
    </font>
    <font>
      <sz val="8"/>
      <color indexed="9"/>
      <name val="Arial Cyr"/>
      <family val="2"/>
    </font>
    <font>
      <sz val="10"/>
      <color indexed="9"/>
      <name val="Arial Cyr"/>
      <family val="2"/>
    </font>
    <font>
      <sz val="7"/>
      <color indexed="9"/>
      <name val="Arial Cyr"/>
      <family val="2"/>
    </font>
    <font>
      <b/>
      <sz val="8"/>
      <name val="Arial Cyr"/>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20" borderId="1" applyNumberFormat="0" applyAlignment="0" applyProtection="0"/>
    <xf numFmtId="44" fontId="1" fillId="0" borderId="0" applyFill="0" applyBorder="0" applyAlignment="0" applyProtection="0"/>
    <xf numFmtId="42" fontId="1" fillId="0" borderId="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14" fillId="3" borderId="0" applyNumberFormat="0" applyBorder="0" applyAlignment="0" applyProtection="0"/>
    <xf numFmtId="0" fontId="15"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18" fillId="4" borderId="0" applyNumberFormat="0" applyBorder="0" applyAlignment="0" applyProtection="0"/>
  </cellStyleXfs>
  <cellXfs count="131">
    <xf numFmtId="0" fontId="0" fillId="0" borderId="0" xfId="0" applyAlignment="1">
      <alignment/>
    </xf>
    <xf numFmtId="0" fontId="19" fillId="0" borderId="0" xfId="0" applyFont="1" applyFill="1" applyAlignment="1">
      <alignment horizontal="center" vertical="top" wrapText="1"/>
    </xf>
    <xf numFmtId="0" fontId="20" fillId="0" borderId="0" xfId="0" applyFont="1" applyFill="1" applyAlignment="1">
      <alignment wrapText="1"/>
    </xf>
    <xf numFmtId="0" fontId="20" fillId="0" borderId="0" xfId="0" applyFont="1" applyFill="1" applyAlignment="1">
      <alignment horizontal="center" wrapText="1"/>
    </xf>
    <xf numFmtId="0" fontId="19" fillId="0" borderId="0" xfId="0" applyFont="1" applyFill="1" applyAlignment="1">
      <alignment wrapText="1"/>
    </xf>
    <xf numFmtId="0" fontId="22" fillId="0" borderId="0" xfId="0" applyFont="1" applyFill="1" applyAlignment="1">
      <alignment wrapText="1"/>
    </xf>
    <xf numFmtId="0" fontId="22" fillId="0" borderId="0" xfId="0" applyFont="1" applyFill="1" applyAlignment="1">
      <alignment horizontal="center" wrapText="1"/>
    </xf>
    <xf numFmtId="0" fontId="23" fillId="0" borderId="0" xfId="0" applyFont="1" applyFill="1" applyAlignment="1">
      <alignment wrapText="1"/>
    </xf>
    <xf numFmtId="0" fontId="25" fillId="0" borderId="0" xfId="0" applyFont="1" applyFill="1" applyAlignment="1">
      <alignment horizontal="center" wrapText="1"/>
    </xf>
    <xf numFmtId="0" fontId="25" fillId="0" borderId="0" xfId="0" applyFont="1" applyFill="1" applyAlignment="1">
      <alignment wrapText="1"/>
    </xf>
    <xf numFmtId="0" fontId="23" fillId="0" borderId="0" xfId="0" applyFont="1" applyFill="1" applyAlignment="1">
      <alignment horizontal="center" wrapText="1"/>
    </xf>
    <xf numFmtId="0" fontId="26" fillId="0" borderId="0" xfId="0" applyFont="1" applyFill="1" applyAlignment="1">
      <alignment horizontal="center" wrapText="1"/>
    </xf>
    <xf numFmtId="0" fontId="19" fillId="0" borderId="0" xfId="0" applyFont="1" applyFill="1" applyAlignment="1">
      <alignment horizontal="center" wrapText="1"/>
    </xf>
    <xf numFmtId="0" fontId="26" fillId="0" borderId="0" xfId="0" applyFont="1" applyFill="1" applyAlignment="1">
      <alignment wrapText="1"/>
    </xf>
    <xf numFmtId="0" fontId="26" fillId="0" borderId="0" xfId="0" applyFont="1" applyFill="1" applyAlignment="1">
      <alignment horizontal="right" wrapText="1"/>
    </xf>
    <xf numFmtId="0" fontId="19" fillId="0" borderId="0" xfId="0" applyFont="1" applyFill="1" applyAlignment="1">
      <alignment horizontal="center" vertical="top"/>
    </xf>
    <xf numFmtId="0" fontId="27" fillId="0" borderId="0" xfId="0" applyFont="1" applyFill="1" applyAlignment="1">
      <alignment horizontal="center" wrapText="1"/>
    </xf>
    <xf numFmtId="0" fontId="0" fillId="0" borderId="0" xfId="0" applyFill="1" applyAlignment="1">
      <alignment/>
    </xf>
    <xf numFmtId="0" fontId="28" fillId="0" borderId="0" xfId="0" applyFont="1" applyFill="1" applyAlignment="1">
      <alignment/>
    </xf>
    <xf numFmtId="0" fontId="29" fillId="0" borderId="0" xfId="0" applyFont="1" applyFill="1" applyAlignment="1">
      <alignment/>
    </xf>
    <xf numFmtId="0" fontId="30" fillId="0" borderId="0" xfId="0" applyFont="1" applyFill="1" applyAlignment="1">
      <alignment/>
    </xf>
    <xf numFmtId="0" fontId="27" fillId="0" borderId="10" xfId="0" applyFont="1" applyFill="1" applyBorder="1" applyAlignment="1">
      <alignment horizontal="center" vertical="center"/>
    </xf>
    <xf numFmtId="0" fontId="22" fillId="0" borderId="10" xfId="0" applyFont="1" applyFill="1" applyBorder="1" applyAlignment="1">
      <alignment horizontal="center" vertical="center"/>
    </xf>
    <xf numFmtId="0" fontId="0" fillId="0" borderId="11" xfId="0" applyFill="1" applyBorder="1" applyAlignment="1">
      <alignment vertical="center"/>
    </xf>
    <xf numFmtId="0" fontId="0" fillId="0" borderId="0" xfId="0" applyFill="1" applyAlignment="1">
      <alignment vertical="center"/>
    </xf>
    <xf numFmtId="0" fontId="22" fillId="0" borderId="12" xfId="0" applyFont="1" applyFill="1" applyBorder="1" applyAlignment="1">
      <alignment horizontal="center" vertical="center"/>
    </xf>
    <xf numFmtId="0" fontId="19" fillId="0" borderId="10" xfId="0" applyFont="1" applyFill="1" applyBorder="1" applyAlignment="1">
      <alignment horizontal="center" vertical="top"/>
    </xf>
    <xf numFmtId="0" fontId="20" fillId="0" borderId="10" xfId="0" applyFont="1" applyFill="1" applyBorder="1" applyAlignment="1">
      <alignment vertical="top" wrapText="1"/>
    </xf>
    <xf numFmtId="0" fontId="27" fillId="0" borderId="10" xfId="0" applyFont="1" applyFill="1" applyBorder="1" applyAlignment="1">
      <alignment horizontal="center" vertical="top" wrapText="1"/>
    </xf>
    <xf numFmtId="164" fontId="19" fillId="0" borderId="10" xfId="0" applyNumberFormat="1" applyFont="1" applyFill="1" applyBorder="1" applyAlignment="1" applyProtection="1">
      <alignment vertical="top" wrapText="1"/>
      <protection locked="0"/>
    </xf>
    <xf numFmtId="164" fontId="20" fillId="0" borderId="10" xfId="0" applyNumberFormat="1" applyFont="1" applyFill="1" applyBorder="1" applyAlignment="1" applyProtection="1">
      <alignment vertical="top" wrapText="1"/>
      <protection locked="0"/>
    </xf>
    <xf numFmtId="0" fontId="32" fillId="0" borderId="10" xfId="0" applyNumberFormat="1" applyFont="1" applyFill="1" applyBorder="1" applyAlignment="1" applyProtection="1">
      <alignment vertical="top" wrapText="1"/>
      <protection locked="0"/>
    </xf>
    <xf numFmtId="0" fontId="32" fillId="0" borderId="10" xfId="0" applyFont="1" applyFill="1" applyBorder="1" applyAlignment="1" applyProtection="1">
      <alignment vertical="top" wrapText="1"/>
      <protection locked="0"/>
    </xf>
    <xf numFmtId="1" fontId="20" fillId="0" borderId="10" xfId="0" applyNumberFormat="1" applyFont="1" applyFill="1" applyBorder="1" applyAlignment="1" applyProtection="1">
      <alignment vertical="top" wrapText="1"/>
      <protection locked="0"/>
    </xf>
    <xf numFmtId="0" fontId="19" fillId="0" borderId="10" xfId="0" applyFont="1" applyFill="1" applyBorder="1" applyAlignment="1" applyProtection="1">
      <alignment vertical="top" wrapText="1"/>
      <protection locked="0"/>
    </xf>
    <xf numFmtId="0" fontId="20" fillId="0" borderId="10" xfId="0" applyFont="1" applyFill="1" applyBorder="1" applyAlignment="1" applyProtection="1">
      <alignment vertical="top" wrapText="1"/>
      <protection locked="0"/>
    </xf>
    <xf numFmtId="0" fontId="29" fillId="0" borderId="10" xfId="0" applyFont="1" applyFill="1" applyBorder="1" applyAlignment="1" applyProtection="1">
      <alignment vertical="top"/>
      <protection locked="0"/>
    </xf>
    <xf numFmtId="0" fontId="0" fillId="0" borderId="10" xfId="0" applyFill="1" applyBorder="1" applyAlignment="1" applyProtection="1">
      <alignment vertical="top"/>
      <protection locked="0"/>
    </xf>
    <xf numFmtId="0" fontId="28" fillId="0" borderId="10" xfId="0" applyFont="1" applyFill="1" applyBorder="1" applyAlignment="1" applyProtection="1">
      <alignment vertical="top"/>
      <protection locked="0"/>
    </xf>
    <xf numFmtId="0" fontId="29" fillId="0" borderId="10" xfId="0" applyFont="1" applyFill="1" applyBorder="1" applyAlignment="1">
      <alignment/>
    </xf>
    <xf numFmtId="49" fontId="19" fillId="0" borderId="10" xfId="0" applyNumberFormat="1" applyFont="1" applyFill="1" applyBorder="1" applyAlignment="1">
      <alignment horizontal="center" vertical="top"/>
    </xf>
    <xf numFmtId="0" fontId="20" fillId="0" borderId="10" xfId="0" applyFont="1" applyFill="1" applyBorder="1" applyAlignment="1">
      <alignment horizontal="left" vertical="top" wrapText="1" indent="2"/>
    </xf>
    <xf numFmtId="1" fontId="19" fillId="0" borderId="10" xfId="0" applyNumberFormat="1" applyFont="1" applyFill="1" applyBorder="1" applyAlignment="1" applyProtection="1">
      <alignment vertical="top" wrapText="1"/>
      <protection locked="0"/>
    </xf>
    <xf numFmtId="1" fontId="19" fillId="0" borderId="10" xfId="0" applyNumberFormat="1" applyFont="1" applyFill="1" applyBorder="1" applyAlignment="1">
      <alignment horizontal="center" vertical="top"/>
    </xf>
    <xf numFmtId="164" fontId="20" fillId="0" borderId="10" xfId="0" applyNumberFormat="1" applyFont="1" applyFill="1" applyBorder="1" applyAlignment="1">
      <alignment vertical="top" wrapText="1"/>
    </xf>
    <xf numFmtId="164" fontId="27" fillId="0" borderId="10" xfId="0" applyNumberFormat="1" applyFont="1" applyFill="1" applyBorder="1" applyAlignment="1">
      <alignment horizontal="center" vertical="top" wrapText="1"/>
    </xf>
    <xf numFmtId="2" fontId="20" fillId="0" borderId="10" xfId="0" applyNumberFormat="1" applyFont="1" applyFill="1" applyBorder="1" applyAlignment="1" applyProtection="1">
      <alignment vertical="top" wrapText="1"/>
      <protection locked="0"/>
    </xf>
    <xf numFmtId="164" fontId="32" fillId="0" borderId="10" xfId="0" applyNumberFormat="1" applyFont="1" applyFill="1" applyBorder="1" applyAlignment="1" applyProtection="1">
      <alignment vertical="top" wrapText="1"/>
      <protection locked="0"/>
    </xf>
    <xf numFmtId="164" fontId="0" fillId="0" borderId="0" xfId="0" applyNumberFormat="1" applyFill="1" applyAlignment="1">
      <alignment/>
    </xf>
    <xf numFmtId="164" fontId="20" fillId="0" borderId="10" xfId="0" applyNumberFormat="1" applyFont="1" applyFill="1" applyBorder="1" applyAlignment="1" applyProtection="1">
      <alignment horizontal="right" vertical="top" wrapText="1"/>
      <protection locked="0"/>
    </xf>
    <xf numFmtId="0" fontId="32" fillId="0" borderId="13" xfId="0" applyFont="1" applyFill="1" applyBorder="1" applyAlignment="1" applyProtection="1">
      <alignment vertical="top" wrapText="1"/>
      <protection locked="0"/>
    </xf>
    <xf numFmtId="2" fontId="19" fillId="0" borderId="10" xfId="0" applyNumberFormat="1" applyFont="1" applyFill="1" applyBorder="1" applyAlignment="1" applyProtection="1">
      <alignment vertical="top" wrapText="1"/>
      <protection locked="0"/>
    </xf>
    <xf numFmtId="0" fontId="32" fillId="0" borderId="14" xfId="0" applyFont="1" applyFill="1" applyBorder="1" applyAlignment="1" applyProtection="1">
      <alignment vertical="top" wrapText="1"/>
      <protection locked="0"/>
    </xf>
    <xf numFmtId="165" fontId="19" fillId="0" borderId="10" xfId="0" applyNumberFormat="1" applyFont="1" applyFill="1" applyBorder="1" applyAlignment="1" applyProtection="1">
      <alignment vertical="top" wrapText="1"/>
      <protection locked="0"/>
    </xf>
    <xf numFmtId="165" fontId="20" fillId="0" borderId="10" xfId="0" applyNumberFormat="1" applyFont="1" applyFill="1" applyBorder="1" applyAlignment="1" applyProtection="1">
      <alignment vertical="top" wrapText="1"/>
      <protection locked="0"/>
    </xf>
    <xf numFmtId="1" fontId="20" fillId="0" borderId="11" xfId="0" applyNumberFormat="1" applyFont="1" applyFill="1" applyBorder="1" applyAlignment="1" applyProtection="1">
      <alignment vertical="top" wrapText="1"/>
      <protection locked="0"/>
    </xf>
    <xf numFmtId="0" fontId="32" fillId="0" borderId="15" xfId="0" applyNumberFormat="1" applyFont="1" applyFill="1" applyBorder="1" applyAlignment="1" applyProtection="1">
      <alignment vertical="top" wrapText="1"/>
      <protection locked="0"/>
    </xf>
    <xf numFmtId="0" fontId="0" fillId="0" borderId="10" xfId="0" applyFill="1" applyBorder="1" applyAlignment="1">
      <alignment vertical="top"/>
    </xf>
    <xf numFmtId="0" fontId="28" fillId="0" borderId="10" xfId="0" applyFont="1" applyFill="1" applyBorder="1" applyAlignment="1">
      <alignment vertical="top"/>
    </xf>
    <xf numFmtId="2" fontId="28" fillId="0" borderId="10" xfId="0" applyNumberFormat="1" applyFont="1" applyFill="1" applyBorder="1" applyAlignment="1">
      <alignment vertical="top"/>
    </xf>
    <xf numFmtId="2" fontId="28" fillId="0" borderId="11" xfId="0" applyNumberFormat="1" applyFont="1" applyFill="1" applyBorder="1" applyAlignment="1">
      <alignment vertical="top"/>
    </xf>
    <xf numFmtId="0" fontId="20" fillId="0" borderId="10" xfId="0" applyFont="1" applyFill="1" applyBorder="1" applyAlignment="1" applyProtection="1">
      <alignment horizontal="right" vertical="top" wrapText="1"/>
      <protection locked="0"/>
    </xf>
    <xf numFmtId="0" fontId="20" fillId="0" borderId="10" xfId="0" applyFont="1" applyFill="1" applyBorder="1" applyAlignment="1">
      <alignment horizontal="center" vertical="top" wrapText="1"/>
    </xf>
    <xf numFmtId="0" fontId="32" fillId="0" borderId="13" xfId="0" applyNumberFormat="1" applyFont="1" applyFill="1" applyBorder="1" applyAlignment="1" applyProtection="1">
      <alignment vertical="top" wrapText="1"/>
      <protection locked="0"/>
    </xf>
    <xf numFmtId="0" fontId="32" fillId="0" borderId="14" xfId="0" applyNumberFormat="1" applyFont="1" applyFill="1" applyBorder="1" applyAlignment="1" applyProtection="1">
      <alignment vertical="top" wrapText="1"/>
      <protection locked="0"/>
    </xf>
    <xf numFmtId="0" fontId="32" fillId="0" borderId="12" xfId="0" applyNumberFormat="1" applyFont="1" applyFill="1" applyBorder="1" applyAlignment="1" applyProtection="1">
      <alignment vertical="top" wrapText="1"/>
      <protection locked="0"/>
    </xf>
    <xf numFmtId="0" fontId="28" fillId="24" borderId="0" xfId="0" applyFont="1" applyFill="1" applyAlignment="1">
      <alignment/>
    </xf>
    <xf numFmtId="0" fontId="29" fillId="24" borderId="0" xfId="0" applyFont="1" applyFill="1" applyAlignment="1">
      <alignment/>
    </xf>
    <xf numFmtId="0" fontId="33" fillId="0" borderId="0" xfId="0" applyFont="1" applyFill="1" applyAlignment="1">
      <alignment vertical="top"/>
    </xf>
    <xf numFmtId="0" fontId="0" fillId="0" borderId="0" xfId="0" applyFill="1" applyAlignment="1">
      <alignment/>
    </xf>
    <xf numFmtId="0" fontId="37" fillId="0" borderId="10" xfId="0" applyFont="1" applyFill="1" applyBorder="1" applyAlignment="1">
      <alignment vertical="top" wrapText="1"/>
    </xf>
    <xf numFmtId="0" fontId="38" fillId="0" borderId="10" xfId="0" applyFont="1" applyFill="1" applyBorder="1" applyAlignment="1">
      <alignment horizontal="center" vertical="top" wrapText="1"/>
    </xf>
    <xf numFmtId="0" fontId="37" fillId="0" borderId="10" xfId="0" applyFont="1" applyFill="1" applyBorder="1" applyAlignment="1">
      <alignment horizontal="center" vertical="top" wrapText="1"/>
    </xf>
    <xf numFmtId="1" fontId="37" fillId="0" borderId="10" xfId="0" applyNumberFormat="1" applyFont="1" applyFill="1" applyBorder="1" applyAlignment="1">
      <alignment horizontal="center" vertical="top" wrapText="1"/>
    </xf>
    <xf numFmtId="1" fontId="37" fillId="24" borderId="10" xfId="0" applyNumberFormat="1" applyFont="1" applyFill="1" applyBorder="1" applyAlignment="1">
      <alignment horizontal="center" vertical="top" wrapText="1"/>
    </xf>
    <xf numFmtId="0" fontId="32" fillId="24" borderId="10" xfId="0" applyFont="1" applyFill="1" applyBorder="1" applyAlignment="1" applyProtection="1">
      <alignment vertical="top" wrapText="1"/>
      <protection locked="0"/>
    </xf>
    <xf numFmtId="0" fontId="37" fillId="24" borderId="10" xfId="0" applyFont="1" applyFill="1" applyBorder="1" applyAlignment="1">
      <alignment horizontal="center" vertical="top" wrapText="1"/>
    </xf>
    <xf numFmtId="1" fontId="37" fillId="0" borderId="10" xfId="0" applyNumberFormat="1" applyFont="1" applyFill="1" applyBorder="1" applyAlignment="1" applyProtection="1">
      <alignment vertical="top" wrapText="1"/>
      <protection locked="0"/>
    </xf>
    <xf numFmtId="1" fontId="37" fillId="24" borderId="10" xfId="0" applyNumberFormat="1" applyFont="1" applyFill="1" applyBorder="1" applyAlignment="1" applyProtection="1">
      <alignment vertical="top" wrapText="1"/>
      <protection locked="0"/>
    </xf>
    <xf numFmtId="0" fontId="39" fillId="0" borderId="10" xfId="0" applyFont="1" applyFill="1" applyBorder="1" applyAlignment="1">
      <alignment horizontal="center" vertical="top"/>
    </xf>
    <xf numFmtId="164" fontId="39" fillId="0" borderId="10" xfId="0" applyNumberFormat="1" applyFont="1" applyFill="1" applyBorder="1" applyAlignment="1" applyProtection="1">
      <alignment vertical="top" wrapText="1"/>
      <protection locked="0"/>
    </xf>
    <xf numFmtId="0" fontId="34" fillId="0" borderId="0" xfId="0" applyFont="1" applyFill="1" applyAlignment="1">
      <alignment/>
    </xf>
    <xf numFmtId="0" fontId="40" fillId="0" borderId="0" xfId="0" applyFont="1" applyFill="1" applyAlignment="1">
      <alignment vertical="top"/>
    </xf>
    <xf numFmtId="1" fontId="20" fillId="24" borderId="10" xfId="0" applyNumberFormat="1" applyFont="1" applyFill="1" applyBorder="1" applyAlignment="1" applyProtection="1">
      <alignment vertical="top" wrapText="1"/>
      <protection locked="0"/>
    </xf>
    <xf numFmtId="164" fontId="33" fillId="0" borderId="0" xfId="0" applyNumberFormat="1" applyFont="1" applyFill="1" applyAlignment="1">
      <alignment vertical="top"/>
    </xf>
    <xf numFmtId="1" fontId="39" fillId="0" borderId="10" xfId="0" applyNumberFormat="1" applyFont="1" applyFill="1" applyBorder="1" applyAlignment="1" applyProtection="1">
      <alignment vertical="top" wrapText="1"/>
      <protection locked="0"/>
    </xf>
    <xf numFmtId="0" fontId="41" fillId="0" borderId="10" xfId="0" applyFont="1" applyFill="1" applyBorder="1" applyAlignment="1" applyProtection="1">
      <alignment vertical="top" wrapText="1"/>
      <protection locked="0"/>
    </xf>
    <xf numFmtId="0" fontId="41" fillId="24" borderId="10" xfId="0" applyFont="1" applyFill="1" applyBorder="1" applyAlignment="1" applyProtection="1">
      <alignment vertical="top" wrapText="1"/>
      <protection locked="0"/>
    </xf>
    <xf numFmtId="0" fontId="19" fillId="6" borderId="10" xfId="0" applyFont="1" applyFill="1" applyBorder="1" applyAlignment="1">
      <alignment horizontal="center" vertical="top"/>
    </xf>
    <xf numFmtId="0" fontId="20" fillId="6" borderId="10" xfId="0" applyFont="1" applyFill="1" applyBorder="1" applyAlignment="1">
      <alignment vertical="top" wrapText="1"/>
    </xf>
    <xf numFmtId="0" fontId="27" fillId="6" borderId="10" xfId="0" applyFont="1" applyFill="1" applyBorder="1" applyAlignment="1">
      <alignment horizontal="center" vertical="top" wrapText="1"/>
    </xf>
    <xf numFmtId="164" fontId="19" fillId="6" borderId="10" xfId="0" applyNumberFormat="1" applyFont="1" applyFill="1" applyBorder="1" applyAlignment="1" applyProtection="1">
      <alignment vertical="top" wrapText="1"/>
      <protection locked="0"/>
    </xf>
    <xf numFmtId="164" fontId="20" fillId="6" borderId="10" xfId="0" applyNumberFormat="1" applyFont="1" applyFill="1" applyBorder="1" applyAlignment="1" applyProtection="1">
      <alignment vertical="top" wrapText="1"/>
      <protection locked="0"/>
    </xf>
    <xf numFmtId="0" fontId="32" fillId="6" borderId="10" xfId="0" applyFont="1" applyFill="1" applyBorder="1" applyAlignment="1" applyProtection="1">
      <alignment vertical="top" wrapText="1"/>
      <protection locked="0"/>
    </xf>
    <xf numFmtId="0" fontId="42" fillId="0" borderId="10" xfId="0" applyFont="1" applyFill="1" applyBorder="1" applyAlignment="1">
      <alignment horizontal="center" vertical="top"/>
    </xf>
    <xf numFmtId="0" fontId="43" fillId="0" borderId="10" xfId="0" applyFont="1" applyFill="1" applyBorder="1" applyAlignment="1">
      <alignment vertical="top" wrapText="1"/>
    </xf>
    <xf numFmtId="0" fontId="44" fillId="0" borderId="10" xfId="0" applyFont="1" applyFill="1" applyBorder="1" applyAlignment="1">
      <alignment horizontal="center" vertical="top" wrapText="1"/>
    </xf>
    <xf numFmtId="1" fontId="42" fillId="0" borderId="10" xfId="0" applyNumberFormat="1" applyFont="1" applyFill="1" applyBorder="1" applyAlignment="1" applyProtection="1">
      <alignment vertical="top" wrapText="1"/>
      <protection locked="0"/>
    </xf>
    <xf numFmtId="1" fontId="43" fillId="0" borderId="10" xfId="0" applyNumberFormat="1" applyFont="1" applyFill="1" applyBorder="1" applyAlignment="1" applyProtection="1">
      <alignment vertical="top" wrapText="1"/>
      <protection locked="0"/>
    </xf>
    <xf numFmtId="1" fontId="43" fillId="24" borderId="10" xfId="0" applyNumberFormat="1" applyFont="1" applyFill="1" applyBorder="1" applyAlignment="1" applyProtection="1">
      <alignment vertical="top" wrapText="1"/>
      <protection locked="0"/>
    </xf>
    <xf numFmtId="0" fontId="45" fillId="24" borderId="10" xfId="0" applyFont="1" applyFill="1" applyBorder="1" applyAlignment="1" applyProtection="1">
      <alignment vertical="top" wrapText="1"/>
      <protection locked="0"/>
    </xf>
    <xf numFmtId="164" fontId="20" fillId="6" borderId="10" xfId="0" applyNumberFormat="1" applyFont="1" applyFill="1" applyBorder="1" applyAlignment="1" applyProtection="1">
      <alignment horizontal="right" vertical="top" wrapText="1"/>
      <protection locked="0"/>
    </xf>
    <xf numFmtId="0" fontId="30" fillId="0" borderId="0" xfId="0" applyFont="1" applyFill="1" applyAlignment="1">
      <alignment vertical="top"/>
    </xf>
    <xf numFmtId="0" fontId="34" fillId="0" borderId="10" xfId="0" applyFont="1" applyFill="1" applyBorder="1" applyAlignment="1">
      <alignment vertical="top"/>
    </xf>
    <xf numFmtId="0" fontId="46" fillId="0" borderId="10" xfId="0" applyFont="1" applyFill="1" applyBorder="1" applyAlignment="1">
      <alignment vertical="top"/>
    </xf>
    <xf numFmtId="0" fontId="37" fillId="24" borderId="10" xfId="0" applyFont="1" applyFill="1" applyBorder="1" applyAlignment="1">
      <alignment vertical="top" wrapText="1"/>
    </xf>
    <xf numFmtId="0" fontId="47" fillId="24" borderId="10" xfId="0" applyFont="1" applyFill="1" applyBorder="1" applyAlignment="1">
      <alignment vertical="top"/>
    </xf>
    <xf numFmtId="0" fontId="48" fillId="0" borderId="10" xfId="0" applyFont="1" applyFill="1" applyBorder="1" applyAlignment="1">
      <alignment horizontal="center" vertical="top"/>
    </xf>
    <xf numFmtId="0" fontId="49" fillId="24" borderId="10" xfId="0" applyFont="1" applyFill="1" applyBorder="1" applyAlignment="1">
      <alignment vertical="top"/>
    </xf>
    <xf numFmtId="0" fontId="50" fillId="0" borderId="0" xfId="0" applyFont="1" applyFill="1" applyAlignment="1">
      <alignment/>
    </xf>
    <xf numFmtId="0" fontId="51" fillId="0" borderId="0" xfId="0" applyFont="1" applyFill="1" applyAlignment="1">
      <alignment vertical="top"/>
    </xf>
    <xf numFmtId="0" fontId="21" fillId="0" borderId="0" xfId="0" applyFont="1" applyFill="1" applyBorder="1" applyAlignment="1">
      <alignment horizontal="center" wrapText="1"/>
    </xf>
    <xf numFmtId="0" fontId="24" fillId="0" borderId="0" xfId="0" applyFont="1" applyFill="1" applyBorder="1" applyAlignment="1">
      <alignment horizontal="center" wrapText="1"/>
    </xf>
    <xf numFmtId="0" fontId="25" fillId="0" borderId="0" xfId="0" applyFont="1" applyFill="1" applyBorder="1" applyAlignment="1">
      <alignment horizontal="center" wrapText="1"/>
    </xf>
    <xf numFmtId="0" fontId="26" fillId="0" borderId="0" xfId="0" applyFont="1" applyFill="1" applyBorder="1" applyAlignment="1">
      <alignment horizontal="left" wrapText="1"/>
    </xf>
    <xf numFmtId="0" fontId="25" fillId="0" borderId="0" xfId="0" applyFont="1" applyFill="1" applyBorder="1" applyAlignment="1">
      <alignment horizontal="center"/>
    </xf>
    <xf numFmtId="0" fontId="25" fillId="0" borderId="0" xfId="0" applyFont="1" applyFill="1" applyBorder="1" applyAlignment="1" applyProtection="1">
      <alignment horizontal="center"/>
      <protection locked="0"/>
    </xf>
    <xf numFmtId="0" fontId="31" fillId="0" borderId="0" xfId="0" applyFont="1" applyFill="1" applyBorder="1" applyAlignment="1">
      <alignment horizontal="center"/>
    </xf>
    <xf numFmtId="0" fontId="32" fillId="0" borderId="10" xfId="0" applyFont="1" applyFill="1" applyBorder="1" applyAlignment="1">
      <alignment horizontal="center" vertical="center"/>
    </xf>
    <xf numFmtId="0" fontId="20" fillId="0" borderId="10" xfId="0" applyFont="1" applyFill="1" applyBorder="1" applyAlignment="1">
      <alignment horizontal="center" vertical="center"/>
    </xf>
    <xf numFmtId="0" fontId="22" fillId="0" borderId="10" xfId="0" applyFont="1" applyFill="1" applyBorder="1" applyAlignment="1">
      <alignment horizontal="center" vertical="center"/>
    </xf>
    <xf numFmtId="0" fontId="19" fillId="0" borderId="10" xfId="0" applyFont="1" applyFill="1" applyBorder="1" applyAlignment="1">
      <alignment horizontal="center" vertical="center"/>
    </xf>
    <xf numFmtId="0" fontId="22" fillId="0" borderId="10" xfId="0" applyFont="1" applyFill="1" applyBorder="1" applyAlignment="1">
      <alignment horizontal="center" vertical="center" wrapText="1"/>
    </xf>
    <xf numFmtId="0" fontId="32" fillId="0" borderId="10" xfId="0" applyFont="1" applyFill="1" applyBorder="1" applyAlignment="1" applyProtection="1">
      <alignment horizontal="left" vertical="top" wrapText="1"/>
      <protection locked="0"/>
    </xf>
    <xf numFmtId="0" fontId="22" fillId="0" borderId="10" xfId="0" applyFont="1" applyFill="1" applyBorder="1" applyAlignment="1">
      <alignment horizontal="center" vertical="top" wrapText="1"/>
    </xf>
    <xf numFmtId="0" fontId="32" fillId="0" borderId="10" xfId="0" applyFont="1" applyFill="1" applyBorder="1" applyAlignment="1" applyProtection="1">
      <alignment horizontal="center" vertical="top" wrapText="1"/>
      <protection locked="0"/>
    </xf>
    <xf numFmtId="0" fontId="32" fillId="0" borderId="16" xfId="0" applyNumberFormat="1" applyFont="1" applyFill="1" applyBorder="1" applyAlignment="1" applyProtection="1">
      <alignment horizontal="left" vertical="top" wrapText="1"/>
      <protection locked="0"/>
    </xf>
    <xf numFmtId="0" fontId="32" fillId="0" borderId="12" xfId="0" applyFont="1" applyFill="1" applyBorder="1" applyAlignment="1" applyProtection="1">
      <alignment horizontal="left" vertical="top" wrapText="1"/>
      <protection locked="0"/>
    </xf>
    <xf numFmtId="0" fontId="32" fillId="0" borderId="10" xfId="0" applyNumberFormat="1" applyFont="1" applyFill="1" applyBorder="1" applyAlignment="1" applyProtection="1">
      <alignment horizontal="left" vertical="top" wrapText="1"/>
      <protection locked="0"/>
    </xf>
    <xf numFmtId="0" fontId="34" fillId="0" borderId="0" xfId="0" applyFont="1" applyFill="1" applyBorder="1" applyAlignment="1">
      <alignment horizontal="center" wrapText="1"/>
    </xf>
    <xf numFmtId="0" fontId="0" fillId="0" borderId="0" xfId="0" applyFont="1" applyFill="1" applyBorder="1" applyAlignment="1">
      <alignment horizontal="left"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N28"/>
  <sheetViews>
    <sheetView zoomScaleSheetLayoutView="90" zoomScalePageLayoutView="0" workbookViewId="0" topLeftCell="A4">
      <selection activeCell="F23" sqref="F23"/>
    </sheetView>
  </sheetViews>
  <sheetFormatPr defaultColWidth="9.00390625" defaultRowHeight="12.75"/>
  <sheetData>
    <row r="1" spans="1:3" s="4" customFormat="1" ht="15.75">
      <c r="A1" s="1"/>
      <c r="B1" s="2"/>
      <c r="C1" s="3"/>
    </row>
    <row r="2" spans="1:3" s="4" customFormat="1" ht="15.75">
      <c r="A2" s="1"/>
      <c r="B2" s="2"/>
      <c r="C2" s="3"/>
    </row>
    <row r="3" spans="1:3" s="4" customFormat="1" ht="15.75">
      <c r="A3" s="1"/>
      <c r="B3" s="2"/>
      <c r="C3" s="3"/>
    </row>
    <row r="4" spans="1:3" s="4" customFormat="1" ht="15.75">
      <c r="A4" s="1"/>
      <c r="B4" s="2"/>
      <c r="C4" s="3"/>
    </row>
    <row r="5" spans="1:14" s="4" customFormat="1" ht="33" customHeight="1">
      <c r="A5" s="111" t="s">
        <v>0</v>
      </c>
      <c r="B5" s="111"/>
      <c r="C5" s="111"/>
      <c r="D5" s="111"/>
      <c r="E5" s="111"/>
      <c r="F5" s="111"/>
      <c r="G5" s="111"/>
      <c r="H5" s="111"/>
      <c r="I5" s="111"/>
      <c r="J5" s="111"/>
      <c r="K5" s="111"/>
      <c r="L5" s="111"/>
      <c r="M5" s="111"/>
      <c r="N5" s="111"/>
    </row>
    <row r="6" spans="1:9" s="4" customFormat="1" ht="17.25" customHeight="1">
      <c r="A6" s="1"/>
      <c r="B6" s="5"/>
      <c r="C6" s="6"/>
      <c r="D6" s="7"/>
      <c r="E6" s="7"/>
      <c r="F6" s="7"/>
      <c r="G6" s="7"/>
      <c r="H6" s="7"/>
      <c r="I6" s="7"/>
    </row>
    <row r="7" spans="1:9" s="4" customFormat="1" ht="17.25" customHeight="1">
      <c r="A7" s="1"/>
      <c r="B7" s="5"/>
      <c r="C7" s="6"/>
      <c r="D7" s="7"/>
      <c r="E7" s="7"/>
      <c r="F7" s="7"/>
      <c r="G7" s="7"/>
      <c r="H7" s="7"/>
      <c r="I7" s="7"/>
    </row>
    <row r="8" spans="1:9" s="4" customFormat="1" ht="17.25" customHeight="1">
      <c r="A8" s="1"/>
      <c r="B8" s="5"/>
      <c r="C8" s="6"/>
      <c r="D8" s="7"/>
      <c r="E8" s="7"/>
      <c r="F8" s="7"/>
      <c r="G8" s="7"/>
      <c r="H8" s="7"/>
      <c r="I8" s="7"/>
    </row>
    <row r="9" spans="1:14" s="4" customFormat="1" ht="17.25" customHeight="1">
      <c r="A9" s="111" t="s">
        <v>1</v>
      </c>
      <c r="B9" s="111"/>
      <c r="C9" s="111"/>
      <c r="D9" s="111"/>
      <c r="E9" s="111"/>
      <c r="F9" s="111"/>
      <c r="G9" s="111"/>
      <c r="H9" s="111"/>
      <c r="I9" s="111"/>
      <c r="J9" s="111"/>
      <c r="K9" s="111"/>
      <c r="L9" s="111"/>
      <c r="M9" s="111"/>
      <c r="N9" s="111"/>
    </row>
    <row r="10" spans="1:9" s="4" customFormat="1" ht="17.25" customHeight="1">
      <c r="A10" s="1"/>
      <c r="B10" s="112"/>
      <c r="C10" s="112"/>
      <c r="D10" s="112"/>
      <c r="E10" s="112"/>
      <c r="F10" s="112"/>
      <c r="G10" s="112"/>
      <c r="H10" s="112"/>
      <c r="I10" s="112"/>
    </row>
    <row r="11" spans="1:9" s="4" customFormat="1" ht="17.25" customHeight="1">
      <c r="A11" s="1"/>
      <c r="B11" s="113"/>
      <c r="C11" s="113"/>
      <c r="D11" s="113"/>
      <c r="E11" s="113"/>
      <c r="F11" s="113"/>
      <c r="G11" s="113"/>
      <c r="H11" s="113"/>
      <c r="I11" s="113"/>
    </row>
    <row r="12" spans="1:14" s="4" customFormat="1" ht="17.25" customHeight="1">
      <c r="A12" s="111" t="s">
        <v>2</v>
      </c>
      <c r="B12" s="111"/>
      <c r="C12" s="111"/>
      <c r="D12" s="111"/>
      <c r="E12" s="111"/>
      <c r="F12" s="111"/>
      <c r="G12" s="111"/>
      <c r="H12" s="111"/>
      <c r="I12" s="111"/>
      <c r="J12" s="111"/>
      <c r="K12" s="111"/>
      <c r="L12" s="111"/>
      <c r="M12" s="111"/>
      <c r="N12" s="111"/>
    </row>
    <row r="13" spans="1:9" s="4" customFormat="1" ht="17.25" customHeight="1">
      <c r="A13" s="1"/>
      <c r="B13" s="112"/>
      <c r="C13" s="112"/>
      <c r="D13" s="112"/>
      <c r="E13" s="112"/>
      <c r="F13" s="112"/>
      <c r="G13" s="112"/>
      <c r="H13" s="112"/>
      <c r="I13" s="112"/>
    </row>
    <row r="14" spans="1:9" s="4" customFormat="1" ht="17.25" customHeight="1">
      <c r="A14" s="1"/>
      <c r="B14" s="5"/>
      <c r="C14" s="8"/>
      <c r="D14" s="9"/>
      <c r="E14" s="9"/>
      <c r="F14" s="7"/>
      <c r="G14" s="7"/>
      <c r="H14" s="7"/>
      <c r="I14" s="7"/>
    </row>
    <row r="15" spans="1:14" s="4" customFormat="1" ht="17.25" customHeight="1">
      <c r="A15" s="113" t="s">
        <v>3</v>
      </c>
      <c r="B15" s="113"/>
      <c r="C15" s="113"/>
      <c r="D15" s="113"/>
      <c r="E15" s="113"/>
      <c r="F15" s="113"/>
      <c r="G15" s="113"/>
      <c r="H15" s="113"/>
      <c r="I15" s="113"/>
      <c r="J15" s="113"/>
      <c r="K15" s="113"/>
      <c r="L15" s="113"/>
      <c r="M15" s="113"/>
      <c r="N15" s="113"/>
    </row>
    <row r="16" spans="1:14" s="4" customFormat="1" ht="17.25" customHeight="1">
      <c r="A16" s="113" t="s">
        <v>4</v>
      </c>
      <c r="B16" s="113"/>
      <c r="C16" s="113"/>
      <c r="D16" s="113"/>
      <c r="E16" s="113"/>
      <c r="F16" s="113"/>
      <c r="G16" s="113"/>
      <c r="H16" s="113"/>
      <c r="I16" s="113"/>
      <c r="J16" s="113"/>
      <c r="K16" s="113"/>
      <c r="L16" s="113"/>
      <c r="M16" s="113"/>
      <c r="N16" s="113"/>
    </row>
    <row r="17" spans="1:14" s="4" customFormat="1" ht="17.25" customHeight="1">
      <c r="A17" s="113" t="s">
        <v>5</v>
      </c>
      <c r="B17" s="113"/>
      <c r="C17" s="113"/>
      <c r="D17" s="113"/>
      <c r="E17" s="113"/>
      <c r="F17" s="113"/>
      <c r="G17" s="113"/>
      <c r="H17" s="113"/>
      <c r="I17" s="113"/>
      <c r="J17" s="113"/>
      <c r="K17" s="113"/>
      <c r="L17" s="113"/>
      <c r="M17" s="113"/>
      <c r="N17" s="113"/>
    </row>
    <row r="18" spans="1:14" s="4" customFormat="1" ht="17.25" customHeight="1">
      <c r="A18" s="113" t="s">
        <v>6</v>
      </c>
      <c r="B18" s="113"/>
      <c r="C18" s="113"/>
      <c r="D18" s="113"/>
      <c r="E18" s="113"/>
      <c r="F18" s="113"/>
      <c r="G18" s="113"/>
      <c r="H18" s="113"/>
      <c r="I18" s="113"/>
      <c r="J18" s="113"/>
      <c r="K18" s="113"/>
      <c r="L18" s="113"/>
      <c r="M18" s="113"/>
      <c r="N18" s="113"/>
    </row>
    <row r="19" spans="1:9" s="4" customFormat="1" ht="17.25" customHeight="1">
      <c r="A19" s="1"/>
      <c r="B19" s="6"/>
      <c r="C19" s="8"/>
      <c r="D19" s="8"/>
      <c r="E19" s="8"/>
      <c r="F19" s="8"/>
      <c r="G19" s="8"/>
      <c r="H19" s="8"/>
      <c r="I19" s="10"/>
    </row>
    <row r="20" spans="1:9" s="4" customFormat="1" ht="17.25" customHeight="1">
      <c r="A20" s="1"/>
      <c r="B20" s="6"/>
      <c r="C20" s="8"/>
      <c r="D20" s="8"/>
      <c r="E20" s="8"/>
      <c r="F20" s="8"/>
      <c r="G20" s="8"/>
      <c r="H20" s="8"/>
      <c r="I20" s="10"/>
    </row>
    <row r="21" spans="1:9" s="4" customFormat="1" ht="17.25" customHeight="1">
      <c r="A21" s="1"/>
      <c r="B21" s="3"/>
      <c r="C21" s="11"/>
      <c r="D21" s="11"/>
      <c r="E21" s="11"/>
      <c r="F21" s="11"/>
      <c r="G21" s="11"/>
      <c r="H21" s="11"/>
      <c r="I21" s="12"/>
    </row>
    <row r="22" spans="1:9" s="4" customFormat="1" ht="17.25" customHeight="1">
      <c r="A22" s="1"/>
      <c r="B22" s="3"/>
      <c r="C22" s="11"/>
      <c r="D22" s="11"/>
      <c r="E22" s="11"/>
      <c r="F22" s="11"/>
      <c r="G22" s="11"/>
      <c r="H22" s="11"/>
      <c r="I22" s="12"/>
    </row>
    <row r="23" spans="1:12" s="4" customFormat="1" ht="17.25" customHeight="1">
      <c r="A23" s="1"/>
      <c r="B23" s="3"/>
      <c r="C23" s="11"/>
      <c r="D23" s="11"/>
      <c r="E23" s="11"/>
      <c r="F23" s="11"/>
      <c r="G23" s="11"/>
      <c r="H23" s="11"/>
      <c r="I23" s="114" t="s">
        <v>7</v>
      </c>
      <c r="J23" s="114"/>
      <c r="K23" s="114"/>
      <c r="L23" s="114"/>
    </row>
    <row r="24" spans="1:12" s="4" customFormat="1" ht="26.25" customHeight="1">
      <c r="A24" s="1"/>
      <c r="B24" s="2"/>
      <c r="C24" s="11"/>
      <c r="D24" s="13"/>
      <c r="E24" s="13"/>
      <c r="I24" s="114" t="s">
        <v>8</v>
      </c>
      <c r="J24" s="114"/>
      <c r="K24" s="114"/>
      <c r="L24" s="114"/>
    </row>
    <row r="25" spans="1:14" s="4" customFormat="1" ht="27" customHeight="1">
      <c r="A25" s="1"/>
      <c r="C25" s="14"/>
      <c r="D25" s="14"/>
      <c r="E25" s="14"/>
      <c r="F25" s="14"/>
      <c r="G25" s="14"/>
      <c r="H25" s="14"/>
      <c r="M25" s="14"/>
      <c r="N25" s="14"/>
    </row>
    <row r="26" spans="1:8" s="4" customFormat="1" ht="17.25" customHeight="1">
      <c r="A26" s="1"/>
      <c r="C26" s="14"/>
      <c r="D26" s="14"/>
      <c r="E26" s="14"/>
      <c r="F26" s="14"/>
      <c r="G26" s="14"/>
      <c r="H26" s="14"/>
    </row>
    <row r="27" spans="1:5" s="4" customFormat="1" ht="17.25" customHeight="1">
      <c r="A27" s="1"/>
      <c r="B27" s="2"/>
      <c r="C27" s="11"/>
      <c r="D27" s="13"/>
      <c r="E27" s="13"/>
    </row>
    <row r="28" spans="1:5" s="4" customFormat="1" ht="17.25" customHeight="1">
      <c r="A28" s="1"/>
      <c r="B28" s="2"/>
      <c r="C28" s="11"/>
      <c r="D28" s="13"/>
      <c r="E28" s="13"/>
    </row>
  </sheetData>
  <sheetProtection selectLockedCells="1" selectUnlockedCells="1"/>
  <mergeCells count="12">
    <mergeCell ref="A15:N15"/>
    <mergeCell ref="A16:N16"/>
    <mergeCell ref="A17:N17"/>
    <mergeCell ref="A18:N18"/>
    <mergeCell ref="I23:L23"/>
    <mergeCell ref="I24:L24"/>
    <mergeCell ref="A5:N5"/>
    <mergeCell ref="A9:N9"/>
    <mergeCell ref="B10:I10"/>
    <mergeCell ref="B11:I11"/>
    <mergeCell ref="A12:N12"/>
    <mergeCell ref="B13:I13"/>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N78"/>
  <sheetViews>
    <sheetView tabSelected="1" zoomScale="70" zoomScaleNormal="70" zoomScalePageLayoutView="0" workbookViewId="0" topLeftCell="A1">
      <selection activeCell="N49" sqref="N49:N51"/>
    </sheetView>
  </sheetViews>
  <sheetFormatPr defaultColWidth="9.00390625" defaultRowHeight="12.75"/>
  <cols>
    <col min="1" max="1" width="5.125" style="15" customWidth="1"/>
    <col min="2" max="2" width="34.75390625" style="2" customWidth="1"/>
    <col min="3" max="3" width="10.25390625" style="16" customWidth="1"/>
    <col min="4" max="5" width="0" style="17" hidden="1" customWidth="1"/>
    <col min="6" max="6" width="0" style="18" hidden="1" customWidth="1"/>
    <col min="7" max="13" width="8.625" style="18" customWidth="1"/>
    <col min="14" max="14" width="33.75390625" style="19" customWidth="1"/>
    <col min="15" max="16384" width="9.125" style="17" customWidth="1"/>
  </cols>
  <sheetData>
    <row r="1" spans="1:14" s="20" customFormat="1" ht="17.25" customHeight="1">
      <c r="A1" s="115" t="s">
        <v>9</v>
      </c>
      <c r="B1" s="115"/>
      <c r="C1" s="115"/>
      <c r="D1" s="115"/>
      <c r="E1" s="115"/>
      <c r="F1" s="115"/>
      <c r="G1" s="115"/>
      <c r="H1" s="115"/>
      <c r="I1" s="115"/>
      <c r="J1" s="115"/>
      <c r="K1" s="115"/>
      <c r="L1" s="115"/>
      <c r="M1" s="115"/>
      <c r="N1" s="115"/>
    </row>
    <row r="2" spans="1:14" s="20" customFormat="1" ht="17.25" customHeight="1">
      <c r="A2" s="116" t="s">
        <v>2</v>
      </c>
      <c r="B2" s="116"/>
      <c r="C2" s="116"/>
      <c r="D2" s="116"/>
      <c r="E2" s="116"/>
      <c r="F2" s="116"/>
      <c r="G2" s="116"/>
      <c r="H2" s="116"/>
      <c r="I2" s="116"/>
      <c r="J2" s="116"/>
      <c r="K2" s="116"/>
      <c r="L2" s="116"/>
      <c r="M2" s="116"/>
      <c r="N2" s="116"/>
    </row>
    <row r="3" spans="1:14" ht="18" customHeight="1">
      <c r="A3" s="117" t="s">
        <v>10</v>
      </c>
      <c r="B3" s="117"/>
      <c r="C3" s="117"/>
      <c r="D3" s="117"/>
      <c r="E3" s="117"/>
      <c r="F3" s="117"/>
      <c r="G3" s="117"/>
      <c r="H3" s="117"/>
      <c r="I3" s="117"/>
      <c r="J3" s="117"/>
      <c r="K3" s="117"/>
      <c r="L3" s="117"/>
      <c r="M3" s="117"/>
      <c r="N3" s="117"/>
    </row>
    <row r="4" spans="1:14" s="24" customFormat="1" ht="21" customHeight="1">
      <c r="A4" s="118" t="s">
        <v>11</v>
      </c>
      <c r="B4" s="119" t="s">
        <v>12</v>
      </c>
      <c r="C4" s="21" t="s">
        <v>13</v>
      </c>
      <c r="D4" s="120">
        <v>2011</v>
      </c>
      <c r="E4" s="23"/>
      <c r="F4" s="120" t="s">
        <v>14</v>
      </c>
      <c r="G4" s="120"/>
      <c r="H4" s="120"/>
      <c r="I4" s="120"/>
      <c r="J4" s="120"/>
      <c r="K4" s="120" t="s">
        <v>15</v>
      </c>
      <c r="L4" s="120"/>
      <c r="M4" s="120"/>
      <c r="N4" s="121" t="s">
        <v>16</v>
      </c>
    </row>
    <row r="5" spans="1:14" s="24" customFormat="1" ht="21" customHeight="1">
      <c r="A5" s="118"/>
      <c r="B5" s="119"/>
      <c r="C5" s="21"/>
      <c r="D5" s="120"/>
      <c r="E5" s="22">
        <v>2012</v>
      </c>
      <c r="F5" s="25">
        <v>2013</v>
      </c>
      <c r="G5" s="25">
        <v>2014</v>
      </c>
      <c r="H5" s="25">
        <v>2015</v>
      </c>
      <c r="I5" s="25">
        <v>2016</v>
      </c>
      <c r="J5" s="25">
        <v>2017</v>
      </c>
      <c r="K5" s="22">
        <v>2018</v>
      </c>
      <c r="L5" s="22">
        <v>2019</v>
      </c>
      <c r="M5" s="22">
        <v>2020</v>
      </c>
      <c r="N5" s="121"/>
    </row>
    <row r="6" spans="1:14" ht="30" customHeight="1">
      <c r="A6" s="122" t="s">
        <v>17</v>
      </c>
      <c r="B6" s="122"/>
      <c r="C6" s="122"/>
      <c r="D6" s="122"/>
      <c r="E6" s="122"/>
      <c r="F6" s="122"/>
      <c r="G6" s="122"/>
      <c r="H6" s="122"/>
      <c r="I6" s="122"/>
      <c r="J6" s="122"/>
      <c r="K6" s="122"/>
      <c r="L6" s="122"/>
      <c r="M6" s="122"/>
      <c r="N6" s="122"/>
    </row>
    <row r="7" spans="1:14" ht="180" customHeight="1">
      <c r="A7" s="26">
        <v>1</v>
      </c>
      <c r="B7" s="27" t="s">
        <v>18</v>
      </c>
      <c r="C7" s="28" t="s">
        <v>19</v>
      </c>
      <c r="D7" s="29">
        <v>524.0176045268784</v>
      </c>
      <c r="E7" s="29">
        <v>482.90060476341415</v>
      </c>
      <c r="F7" s="30">
        <v>449.20436011914137</v>
      </c>
      <c r="G7" s="30">
        <v>445.28498678973216</v>
      </c>
      <c r="H7" s="30">
        <v>463.077399632667</v>
      </c>
      <c r="I7" s="30">
        <v>440.86958156557273</v>
      </c>
      <c r="J7" s="30">
        <v>457.07723589419203</v>
      </c>
      <c r="K7" s="30">
        <v>461.90256236875064</v>
      </c>
      <c r="L7" s="30">
        <v>463.41502202573116</v>
      </c>
      <c r="M7" s="30">
        <v>465.2059412534113</v>
      </c>
      <c r="N7" s="31" t="s">
        <v>20</v>
      </c>
    </row>
    <row r="8" spans="1:14" ht="132.75" customHeight="1">
      <c r="A8" s="26">
        <v>2</v>
      </c>
      <c r="B8" s="27" t="s">
        <v>21</v>
      </c>
      <c r="C8" s="28" t="s">
        <v>22</v>
      </c>
      <c r="D8" s="29">
        <v>27.818485874245642</v>
      </c>
      <c r="E8" s="29">
        <v>27.790239808927474</v>
      </c>
      <c r="F8" s="30">
        <v>27.67709781539387</v>
      </c>
      <c r="G8" s="30">
        <v>26.324970790601064</v>
      </c>
      <c r="H8" s="30">
        <v>25.66775406117008</v>
      </c>
      <c r="I8" s="30">
        <v>26.767335350087034</v>
      </c>
      <c r="J8" s="30">
        <v>27.5</v>
      </c>
      <c r="K8" s="30">
        <v>27.7</v>
      </c>
      <c r="L8" s="30">
        <v>27.8</v>
      </c>
      <c r="M8" s="30">
        <v>27.9</v>
      </c>
      <c r="N8" s="32" t="s">
        <v>23</v>
      </c>
    </row>
    <row r="9" spans="1:14" ht="66.75" customHeight="1">
      <c r="A9" s="26">
        <v>3</v>
      </c>
      <c r="B9" s="27" t="s">
        <v>24</v>
      </c>
      <c r="C9" s="28" t="s">
        <v>25</v>
      </c>
      <c r="D9" s="29">
        <v>28143.3</v>
      </c>
      <c r="E9" s="29">
        <v>31398.6</v>
      </c>
      <c r="F9" s="30">
        <v>29628.3</v>
      </c>
      <c r="G9" s="30">
        <v>29612.1</v>
      </c>
      <c r="H9" s="30">
        <v>40968.23226460493</v>
      </c>
      <c r="I9" s="30">
        <v>23670</v>
      </c>
      <c r="J9" s="30">
        <v>25972.1</v>
      </c>
      <c r="K9" s="33">
        <v>24897.92905748068</v>
      </c>
      <c r="L9" s="33">
        <v>23179.119288815382</v>
      </c>
      <c r="M9" s="33">
        <v>23700.904443194686</v>
      </c>
      <c r="N9" s="32" t="s">
        <v>26</v>
      </c>
    </row>
    <row r="10" spans="1:14" ht="123" customHeight="1">
      <c r="A10" s="26">
        <v>4</v>
      </c>
      <c r="B10" s="27" t="s">
        <v>27</v>
      </c>
      <c r="C10" s="28" t="s">
        <v>22</v>
      </c>
      <c r="D10" s="29">
        <v>66.49616368286445</v>
      </c>
      <c r="E10" s="29">
        <v>68.70720237604158</v>
      </c>
      <c r="F10" s="30">
        <v>71.30599785496247</v>
      </c>
      <c r="G10" s="30">
        <v>73.04760333305833</v>
      </c>
      <c r="H10" s="30">
        <v>77.3062453592938</v>
      </c>
      <c r="I10" s="30">
        <v>78.23908918406073</v>
      </c>
      <c r="J10" s="30">
        <v>78.24899595742924</v>
      </c>
      <c r="K10" s="30">
        <v>78.5</v>
      </c>
      <c r="L10" s="30">
        <v>78.7</v>
      </c>
      <c r="M10" s="30">
        <v>79</v>
      </c>
      <c r="N10" s="32" t="s">
        <v>28</v>
      </c>
    </row>
    <row r="11" spans="1:14" ht="57" customHeight="1">
      <c r="A11" s="26">
        <v>5</v>
      </c>
      <c r="B11" s="27" t="s">
        <v>29</v>
      </c>
      <c r="C11" s="28" t="s">
        <v>30</v>
      </c>
      <c r="D11" s="34">
        <v>0</v>
      </c>
      <c r="E11" s="34">
        <v>0</v>
      </c>
      <c r="F11" s="35">
        <v>0</v>
      </c>
      <c r="G11" s="35">
        <v>0</v>
      </c>
      <c r="H11" s="35">
        <v>0</v>
      </c>
      <c r="I11" s="35">
        <v>0</v>
      </c>
      <c r="J11" s="35">
        <v>0</v>
      </c>
      <c r="K11" s="35">
        <v>0</v>
      </c>
      <c r="L11" s="35">
        <v>0</v>
      </c>
      <c r="M11" s="35">
        <v>0</v>
      </c>
      <c r="N11" s="32" t="s">
        <v>31</v>
      </c>
    </row>
    <row r="12" spans="1:14" ht="147" customHeight="1">
      <c r="A12" s="26">
        <v>6</v>
      </c>
      <c r="B12" s="27" t="s">
        <v>32</v>
      </c>
      <c r="C12" s="28" t="s">
        <v>33</v>
      </c>
      <c r="D12" s="34">
        <v>87.2</v>
      </c>
      <c r="E12" s="34">
        <v>83.7</v>
      </c>
      <c r="F12" s="35">
        <v>73.2</v>
      </c>
      <c r="G12" s="30">
        <v>34.27947598253275</v>
      </c>
      <c r="H12" s="30">
        <v>34.27947598253275</v>
      </c>
      <c r="I12" s="30">
        <v>34.00651465798046</v>
      </c>
      <c r="J12" s="30">
        <v>34.00651465798046</v>
      </c>
      <c r="K12" s="30">
        <v>33.94753956210708</v>
      </c>
      <c r="L12" s="30">
        <v>33.94753956210708</v>
      </c>
      <c r="M12" s="30">
        <v>33.94753956210708</v>
      </c>
      <c r="N12" s="32" t="s">
        <v>34</v>
      </c>
    </row>
    <row r="13" spans="1:14" ht="147.75" customHeight="1">
      <c r="A13" s="26">
        <v>7</v>
      </c>
      <c r="B13" s="27" t="s">
        <v>35</v>
      </c>
      <c r="C13" s="28" t="s">
        <v>33</v>
      </c>
      <c r="D13" s="34">
        <v>0</v>
      </c>
      <c r="E13" s="34">
        <v>0</v>
      </c>
      <c r="F13" s="35">
        <v>0</v>
      </c>
      <c r="G13" s="33">
        <v>0</v>
      </c>
      <c r="H13" s="35">
        <v>0</v>
      </c>
      <c r="I13" s="35">
        <v>0</v>
      </c>
      <c r="J13" s="35">
        <v>0</v>
      </c>
      <c r="K13" s="35">
        <v>0</v>
      </c>
      <c r="L13" s="35"/>
      <c r="M13" s="35"/>
      <c r="N13" s="36"/>
    </row>
    <row r="14" spans="1:14" ht="56.25" customHeight="1">
      <c r="A14" s="26">
        <v>8</v>
      </c>
      <c r="B14" s="27" t="s">
        <v>36</v>
      </c>
      <c r="C14" s="28"/>
      <c r="D14" s="37"/>
      <c r="E14" s="37"/>
      <c r="F14" s="38"/>
      <c r="G14" s="38"/>
      <c r="H14" s="38"/>
      <c r="I14" s="38"/>
      <c r="J14" s="38"/>
      <c r="K14" s="38"/>
      <c r="L14" s="38"/>
      <c r="M14" s="38"/>
      <c r="N14" s="39"/>
    </row>
    <row r="15" spans="1:14" ht="39" customHeight="1">
      <c r="A15" s="40"/>
      <c r="B15" s="27" t="s">
        <v>37</v>
      </c>
      <c r="C15" s="28" t="s">
        <v>25</v>
      </c>
      <c r="D15" s="29">
        <v>18245.1</v>
      </c>
      <c r="E15" s="29">
        <v>21435.3</v>
      </c>
      <c r="F15" s="30">
        <v>24151.5</v>
      </c>
      <c r="G15" s="30">
        <v>25916.9</v>
      </c>
      <c r="H15" s="30">
        <v>26727.2</v>
      </c>
      <c r="I15" s="30">
        <v>27960.4</v>
      </c>
      <c r="J15" s="30">
        <v>29580.1</v>
      </c>
      <c r="K15" s="33">
        <v>29643</v>
      </c>
      <c r="L15" s="33">
        <v>30831</v>
      </c>
      <c r="M15" s="33">
        <v>32005</v>
      </c>
      <c r="N15" s="123" t="s">
        <v>38</v>
      </c>
    </row>
    <row r="16" spans="1:14" ht="39" customHeight="1">
      <c r="A16" s="40"/>
      <c r="B16" s="27" t="s">
        <v>39</v>
      </c>
      <c r="C16" s="28" t="s">
        <v>25</v>
      </c>
      <c r="D16" s="29">
        <v>8672.3</v>
      </c>
      <c r="E16" s="29">
        <v>9733.3</v>
      </c>
      <c r="F16" s="30">
        <v>13541.5</v>
      </c>
      <c r="G16" s="30">
        <v>14209.2</v>
      </c>
      <c r="H16" s="30">
        <v>14555.3</v>
      </c>
      <c r="I16" s="30">
        <v>15646.1</v>
      </c>
      <c r="J16" s="30">
        <v>17641.6</v>
      </c>
      <c r="K16" s="33">
        <v>20081</v>
      </c>
      <c r="L16" s="33">
        <v>21755</v>
      </c>
      <c r="M16" s="33">
        <v>22000</v>
      </c>
      <c r="N16" s="123"/>
    </row>
    <row r="17" spans="1:14" ht="35.25" customHeight="1">
      <c r="A17" s="40"/>
      <c r="B17" s="27" t="s">
        <v>40</v>
      </c>
      <c r="C17" s="28" t="s">
        <v>25</v>
      </c>
      <c r="D17" s="29">
        <v>12690.5</v>
      </c>
      <c r="E17" s="29">
        <v>14994.2</v>
      </c>
      <c r="F17" s="30">
        <v>18790.7</v>
      </c>
      <c r="G17" s="30">
        <v>19677.7</v>
      </c>
      <c r="H17" s="30">
        <v>19412.5</v>
      </c>
      <c r="I17" s="30">
        <v>20181.9</v>
      </c>
      <c r="J17" s="30">
        <v>21328</v>
      </c>
      <c r="K17" s="33">
        <v>24300</v>
      </c>
      <c r="L17" s="33">
        <v>25974</v>
      </c>
      <c r="M17" s="33">
        <v>26000</v>
      </c>
      <c r="N17" s="123"/>
    </row>
    <row r="18" spans="1:14" ht="39" customHeight="1">
      <c r="A18" s="40"/>
      <c r="B18" s="27" t="s">
        <v>41</v>
      </c>
      <c r="C18" s="28" t="s">
        <v>25</v>
      </c>
      <c r="D18" s="29">
        <v>12990.64</v>
      </c>
      <c r="E18" s="29">
        <v>16329.5</v>
      </c>
      <c r="F18" s="30">
        <v>21046.5</v>
      </c>
      <c r="G18" s="30">
        <v>22168.59</v>
      </c>
      <c r="H18" s="33">
        <v>21986.97</v>
      </c>
      <c r="I18" s="30">
        <v>21989.9</v>
      </c>
      <c r="J18" s="30">
        <v>23319.35</v>
      </c>
      <c r="K18" s="33">
        <v>25114.36</v>
      </c>
      <c r="L18" s="33">
        <v>26445.42</v>
      </c>
      <c r="M18" s="33">
        <v>27926.36</v>
      </c>
      <c r="N18" s="123"/>
    </row>
    <row r="19" spans="1:14" ht="39" customHeight="1">
      <c r="A19" s="40"/>
      <c r="B19" s="41" t="s">
        <v>42</v>
      </c>
      <c r="C19" s="28" t="s">
        <v>25</v>
      </c>
      <c r="D19" s="29">
        <v>8716</v>
      </c>
      <c r="E19" s="29">
        <v>11186.6</v>
      </c>
      <c r="F19" s="30">
        <v>15684.5</v>
      </c>
      <c r="G19" s="30">
        <v>19237</v>
      </c>
      <c r="H19" s="30">
        <v>20514.8</v>
      </c>
      <c r="I19" s="30">
        <v>21681.1</v>
      </c>
      <c r="J19" s="30">
        <v>24616</v>
      </c>
      <c r="K19" s="33">
        <v>25170</v>
      </c>
      <c r="L19" s="33">
        <v>25600</v>
      </c>
      <c r="M19" s="33">
        <v>25800</v>
      </c>
      <c r="N19" s="123"/>
    </row>
    <row r="20" spans="1:14" ht="42.75" customHeight="1">
      <c r="A20" s="40"/>
      <c r="B20" s="27" t="s">
        <v>43</v>
      </c>
      <c r="C20" s="28" t="s">
        <v>25</v>
      </c>
      <c r="D20" s="29">
        <v>9086.8</v>
      </c>
      <c r="E20" s="29">
        <v>12909</v>
      </c>
      <c r="F20" s="30">
        <v>17111.6</v>
      </c>
      <c r="G20" s="30">
        <v>18344</v>
      </c>
      <c r="H20" s="30">
        <v>18402.1</v>
      </c>
      <c r="I20" s="30">
        <v>19391.7</v>
      </c>
      <c r="J20" s="30">
        <v>17856.1</v>
      </c>
      <c r="K20" s="33">
        <v>18570.343999999997</v>
      </c>
      <c r="L20" s="33">
        <v>19313.15776</v>
      </c>
      <c r="M20" s="33">
        <v>20085.6840704</v>
      </c>
      <c r="N20" s="123"/>
    </row>
    <row r="21" spans="1:14" ht="31.5" customHeight="1">
      <c r="A21" s="124" t="s">
        <v>44</v>
      </c>
      <c r="B21" s="124"/>
      <c r="C21" s="124"/>
      <c r="D21" s="124"/>
      <c r="E21" s="124"/>
      <c r="F21" s="124"/>
      <c r="G21" s="124"/>
      <c r="H21" s="124"/>
      <c r="I21" s="124"/>
      <c r="J21" s="124"/>
      <c r="K21" s="124"/>
      <c r="L21" s="124"/>
      <c r="M21" s="124"/>
      <c r="N21" s="124"/>
    </row>
    <row r="22" spans="1:14" ht="121.5" customHeight="1">
      <c r="A22" s="26">
        <v>9</v>
      </c>
      <c r="B22" s="27" t="s">
        <v>45</v>
      </c>
      <c r="C22" s="28" t="s">
        <v>33</v>
      </c>
      <c r="D22" s="29">
        <v>82</v>
      </c>
      <c r="E22" s="29">
        <v>86.5</v>
      </c>
      <c r="F22" s="30">
        <v>90.3</v>
      </c>
      <c r="G22" s="30">
        <v>92.1</v>
      </c>
      <c r="H22" s="30">
        <v>92</v>
      </c>
      <c r="I22" s="30">
        <v>97.85610869807329</v>
      </c>
      <c r="J22" s="30">
        <v>98.3</v>
      </c>
      <c r="K22" s="30">
        <v>98.3</v>
      </c>
      <c r="L22" s="30">
        <v>98.3</v>
      </c>
      <c r="M22" s="30">
        <v>99</v>
      </c>
      <c r="N22" s="32" t="s">
        <v>46</v>
      </c>
    </row>
    <row r="23" spans="1:14" ht="99" customHeight="1">
      <c r="A23" s="26">
        <v>10</v>
      </c>
      <c r="B23" s="27" t="s">
        <v>47</v>
      </c>
      <c r="C23" s="28" t="s">
        <v>33</v>
      </c>
      <c r="D23" s="42">
        <v>38.97071978054744</v>
      </c>
      <c r="E23" s="42">
        <v>33.99825530677523</v>
      </c>
      <c r="F23" s="33">
        <v>33</v>
      </c>
      <c r="G23" s="33">
        <v>35</v>
      </c>
      <c r="H23" s="33">
        <v>30.33739722143465</v>
      </c>
      <c r="I23" s="30">
        <v>33.21082525893752</v>
      </c>
      <c r="J23" s="30">
        <v>33.773595289197075</v>
      </c>
      <c r="K23" s="33">
        <v>32</v>
      </c>
      <c r="L23" s="33">
        <v>31</v>
      </c>
      <c r="M23" s="33">
        <v>30</v>
      </c>
      <c r="N23" s="31" t="s">
        <v>48</v>
      </c>
    </row>
    <row r="24" spans="1:14" ht="117" customHeight="1">
      <c r="A24" s="26">
        <v>11</v>
      </c>
      <c r="B24" s="27" t="s">
        <v>49</v>
      </c>
      <c r="C24" s="28" t="s">
        <v>33</v>
      </c>
      <c r="D24" s="29">
        <v>13.513513513513514</v>
      </c>
      <c r="E24" s="29">
        <v>1.3157894736842104</v>
      </c>
      <c r="F24" s="35">
        <v>0</v>
      </c>
      <c r="G24" s="35">
        <v>0</v>
      </c>
      <c r="H24" s="35">
        <v>0</v>
      </c>
      <c r="I24" s="35">
        <v>0</v>
      </c>
      <c r="J24" s="35">
        <v>1.23</v>
      </c>
      <c r="K24" s="35">
        <v>1.23</v>
      </c>
      <c r="L24" s="35">
        <v>0</v>
      </c>
      <c r="M24" s="35">
        <v>0</v>
      </c>
      <c r="N24" s="32" t="s">
        <v>50</v>
      </c>
    </row>
    <row r="25" spans="1:14" ht="30.75" customHeight="1">
      <c r="A25" s="124" t="s">
        <v>51</v>
      </c>
      <c r="B25" s="124"/>
      <c r="C25" s="124"/>
      <c r="D25" s="124"/>
      <c r="E25" s="124"/>
      <c r="F25" s="124"/>
      <c r="G25" s="124"/>
      <c r="H25" s="124"/>
      <c r="I25" s="124"/>
      <c r="J25" s="124"/>
      <c r="K25" s="124"/>
      <c r="L25" s="124"/>
      <c r="M25" s="124"/>
      <c r="N25" s="124"/>
    </row>
    <row r="26" spans="1:14" ht="132.75" customHeight="1">
      <c r="A26" s="26">
        <v>13</v>
      </c>
      <c r="B26" s="27" t="s">
        <v>52</v>
      </c>
      <c r="C26" s="28" t="s">
        <v>33</v>
      </c>
      <c r="D26" s="29">
        <v>1</v>
      </c>
      <c r="E26" s="34">
        <v>0.52</v>
      </c>
      <c r="F26" s="35">
        <v>0.58</v>
      </c>
      <c r="G26" s="35">
        <v>0.6</v>
      </c>
      <c r="H26" s="35">
        <v>0.6</v>
      </c>
      <c r="I26" s="30">
        <v>0.64</v>
      </c>
      <c r="J26" s="30">
        <v>0.5166051660516605</v>
      </c>
      <c r="K26" s="35">
        <v>0.5</v>
      </c>
      <c r="L26" s="35">
        <v>0.5</v>
      </c>
      <c r="M26" s="35">
        <v>0.45</v>
      </c>
      <c r="N26" s="32" t="s">
        <v>53</v>
      </c>
    </row>
    <row r="27" spans="1:14" ht="114" customHeight="1">
      <c r="A27" s="26">
        <v>14</v>
      </c>
      <c r="B27" s="27" t="s">
        <v>54</v>
      </c>
      <c r="C27" s="28" t="s">
        <v>33</v>
      </c>
      <c r="D27" s="34">
        <v>74.2</v>
      </c>
      <c r="E27" s="34">
        <v>73.5</v>
      </c>
      <c r="F27" s="35">
        <v>76.2</v>
      </c>
      <c r="G27" s="30">
        <v>80.64</v>
      </c>
      <c r="H27" s="35">
        <v>83.95</v>
      </c>
      <c r="I27" s="35">
        <v>85.6</v>
      </c>
      <c r="J27" s="30">
        <v>86</v>
      </c>
      <c r="K27" s="35">
        <v>86.5</v>
      </c>
      <c r="L27" s="35">
        <v>87</v>
      </c>
      <c r="M27" s="35">
        <v>87.5</v>
      </c>
      <c r="N27" s="32"/>
    </row>
    <row r="28" spans="1:14" ht="129" customHeight="1">
      <c r="A28" s="26">
        <v>15</v>
      </c>
      <c r="B28" s="27" t="s">
        <v>55</v>
      </c>
      <c r="C28" s="28" t="s">
        <v>33</v>
      </c>
      <c r="D28" s="34">
        <v>2.3</v>
      </c>
      <c r="E28" s="34">
        <v>2.3</v>
      </c>
      <c r="F28" s="35">
        <v>7</v>
      </c>
      <c r="G28" s="35">
        <v>2.4</v>
      </c>
      <c r="H28" s="35">
        <v>2</v>
      </c>
      <c r="I28" s="35">
        <v>0</v>
      </c>
      <c r="J28" s="35">
        <v>0</v>
      </c>
      <c r="K28" s="35">
        <v>0</v>
      </c>
      <c r="L28" s="35">
        <v>0</v>
      </c>
      <c r="M28" s="35">
        <v>0</v>
      </c>
      <c r="N28" s="32"/>
    </row>
    <row r="29" spans="1:14" ht="92.25" customHeight="1">
      <c r="A29" s="26">
        <v>16</v>
      </c>
      <c r="B29" s="27" t="s">
        <v>56</v>
      </c>
      <c r="C29" s="28" t="s">
        <v>22</v>
      </c>
      <c r="D29" s="34">
        <v>83.2</v>
      </c>
      <c r="E29" s="34">
        <v>83.2</v>
      </c>
      <c r="F29" s="35">
        <v>83.8</v>
      </c>
      <c r="G29" s="35">
        <v>84.1</v>
      </c>
      <c r="H29" s="35">
        <v>83.6</v>
      </c>
      <c r="I29" s="35">
        <v>83.3</v>
      </c>
      <c r="J29" s="35">
        <v>87.4</v>
      </c>
      <c r="K29" s="35">
        <v>88</v>
      </c>
      <c r="L29" s="35">
        <v>90</v>
      </c>
      <c r="M29" s="35">
        <v>90</v>
      </c>
      <c r="N29" s="32" t="s">
        <v>57</v>
      </c>
    </row>
    <row r="30" spans="1:14" ht="132" customHeight="1">
      <c r="A30" s="26">
        <v>17</v>
      </c>
      <c r="B30" s="27" t="s">
        <v>58</v>
      </c>
      <c r="C30" s="28" t="s">
        <v>22</v>
      </c>
      <c r="D30" s="34">
        <v>23</v>
      </c>
      <c r="E30" s="29">
        <v>24.95</v>
      </c>
      <c r="F30" s="30">
        <v>26.6</v>
      </c>
      <c r="G30" s="30">
        <v>25.7</v>
      </c>
      <c r="H30" s="30">
        <v>24.4</v>
      </c>
      <c r="I30" s="30">
        <v>23.1</v>
      </c>
      <c r="J30" s="33">
        <v>23</v>
      </c>
      <c r="K30" s="33">
        <v>22</v>
      </c>
      <c r="L30" s="33">
        <v>21</v>
      </c>
      <c r="M30" s="33">
        <v>21</v>
      </c>
      <c r="N30" s="32" t="s">
        <v>59</v>
      </c>
    </row>
    <row r="31" spans="1:14" s="48" customFormat="1" ht="91.5" customHeight="1">
      <c r="A31" s="43">
        <v>18</v>
      </c>
      <c r="B31" s="44" t="s">
        <v>60</v>
      </c>
      <c r="C31" s="45" t="s">
        <v>61</v>
      </c>
      <c r="D31" s="29">
        <v>34</v>
      </c>
      <c r="E31" s="29">
        <v>35.8</v>
      </c>
      <c r="F31" s="30">
        <v>42.07</v>
      </c>
      <c r="G31" s="46">
        <v>11.44</v>
      </c>
      <c r="H31" s="46">
        <v>13.08</v>
      </c>
      <c r="I31" s="46">
        <v>10.83</v>
      </c>
      <c r="J31" s="46">
        <v>16.37</v>
      </c>
      <c r="K31" s="46">
        <v>11.2</v>
      </c>
      <c r="L31" s="46">
        <v>11.2</v>
      </c>
      <c r="M31" s="46">
        <v>11.52</v>
      </c>
      <c r="N31" s="47" t="s">
        <v>62</v>
      </c>
    </row>
    <row r="32" spans="1:14" ht="135.75" customHeight="1">
      <c r="A32" s="26">
        <v>19</v>
      </c>
      <c r="B32" s="27" t="s">
        <v>63</v>
      </c>
      <c r="C32" s="28" t="s">
        <v>64</v>
      </c>
      <c r="D32" s="29">
        <v>57.4028468699207</v>
      </c>
      <c r="E32" s="29">
        <v>58.439506676179796</v>
      </c>
      <c r="F32" s="30">
        <v>93.33403538331929</v>
      </c>
      <c r="G32" s="30">
        <v>93.1048100465998</v>
      </c>
      <c r="H32" s="30">
        <v>91.993281075028</v>
      </c>
      <c r="I32" s="30">
        <v>93.89782403027436</v>
      </c>
      <c r="J32" s="30">
        <v>92.29648290851611</v>
      </c>
      <c r="K32" s="30">
        <v>76.37067565879855</v>
      </c>
      <c r="L32" s="30">
        <v>76.5597898805689</v>
      </c>
      <c r="M32" s="30">
        <v>76.62814478969027</v>
      </c>
      <c r="N32" s="32" t="s">
        <v>65</v>
      </c>
    </row>
    <row r="33" spans="1:14" ht="27.75" customHeight="1">
      <c r="A33" s="124" t="s">
        <v>66</v>
      </c>
      <c r="B33" s="124"/>
      <c r="C33" s="124"/>
      <c r="D33" s="124"/>
      <c r="E33" s="124"/>
      <c r="F33" s="124"/>
      <c r="G33" s="124"/>
      <c r="H33" s="124"/>
      <c r="I33" s="124"/>
      <c r="J33" s="124"/>
      <c r="K33" s="124"/>
      <c r="L33" s="124"/>
      <c r="M33" s="124"/>
      <c r="N33" s="124"/>
    </row>
    <row r="34" spans="1:14" ht="69" customHeight="1">
      <c r="A34" s="26">
        <v>20</v>
      </c>
      <c r="B34" s="27" t="s">
        <v>67</v>
      </c>
      <c r="C34" s="28"/>
      <c r="D34" s="37"/>
      <c r="E34" s="37"/>
      <c r="F34" s="38"/>
      <c r="G34" s="38"/>
      <c r="H34" s="38"/>
      <c r="I34" s="38"/>
      <c r="J34" s="38"/>
      <c r="K34" s="38"/>
      <c r="L34" s="38"/>
      <c r="M34" s="38"/>
      <c r="N34" s="125" t="s">
        <v>68</v>
      </c>
    </row>
    <row r="35" spans="1:14" ht="41.25" customHeight="1">
      <c r="A35" s="26"/>
      <c r="B35" s="27" t="s">
        <v>69</v>
      </c>
      <c r="C35" s="28" t="s">
        <v>22</v>
      </c>
      <c r="D35" s="29">
        <v>30.933668657654824</v>
      </c>
      <c r="E35" s="29">
        <v>30.88153604258137</v>
      </c>
      <c r="F35" s="30">
        <v>30.981782460029095</v>
      </c>
      <c r="G35" s="30">
        <v>30.91296931008159</v>
      </c>
      <c r="H35" s="30">
        <v>30.78838927287461</v>
      </c>
      <c r="I35" s="30">
        <v>66.7</v>
      </c>
      <c r="J35" s="30">
        <v>66.7</v>
      </c>
      <c r="K35" s="30">
        <v>66.7</v>
      </c>
      <c r="L35" s="30">
        <v>66.7</v>
      </c>
      <c r="M35" s="30">
        <v>66.7</v>
      </c>
      <c r="N35" s="125"/>
    </row>
    <row r="36" spans="1:14" ht="44.25" customHeight="1">
      <c r="A36" s="26"/>
      <c r="B36" s="27" t="s">
        <v>70</v>
      </c>
      <c r="C36" s="28" t="s">
        <v>22</v>
      </c>
      <c r="D36" s="29">
        <v>66.96875</v>
      </c>
      <c r="E36" s="29">
        <v>66.96875</v>
      </c>
      <c r="F36" s="30">
        <v>66.96875</v>
      </c>
      <c r="G36" s="30">
        <v>68.9375</v>
      </c>
      <c r="H36" s="30">
        <v>70.6</v>
      </c>
      <c r="I36" s="30">
        <v>90</v>
      </c>
      <c r="J36" s="30">
        <v>90</v>
      </c>
      <c r="K36" s="30">
        <v>90</v>
      </c>
      <c r="L36" s="30">
        <v>90</v>
      </c>
      <c r="M36" s="30">
        <v>90</v>
      </c>
      <c r="N36" s="125"/>
    </row>
    <row r="37" spans="1:14" ht="45" customHeight="1">
      <c r="A37" s="26"/>
      <c r="B37" s="27" t="s">
        <v>71</v>
      </c>
      <c r="C37" s="28" t="s">
        <v>22</v>
      </c>
      <c r="D37" s="34">
        <v>66.7</v>
      </c>
      <c r="E37" s="34">
        <v>66.7</v>
      </c>
      <c r="F37" s="35">
        <v>66.7</v>
      </c>
      <c r="G37" s="35">
        <v>66.7</v>
      </c>
      <c r="H37" s="35">
        <v>66.7</v>
      </c>
      <c r="I37" s="35">
        <v>20</v>
      </c>
      <c r="J37" s="35">
        <v>20</v>
      </c>
      <c r="K37" s="35">
        <v>20</v>
      </c>
      <c r="L37" s="35">
        <v>20</v>
      </c>
      <c r="M37" s="35">
        <v>20</v>
      </c>
      <c r="N37" s="125"/>
    </row>
    <row r="38" spans="1:14" ht="108" customHeight="1">
      <c r="A38" s="26">
        <v>21</v>
      </c>
      <c r="B38" s="27" t="s">
        <v>72</v>
      </c>
      <c r="C38" s="28" t="s">
        <v>22</v>
      </c>
      <c r="D38" s="34">
        <v>2</v>
      </c>
      <c r="E38" s="34">
        <v>2</v>
      </c>
      <c r="F38" s="35">
        <v>0</v>
      </c>
      <c r="G38" s="35">
        <v>0</v>
      </c>
      <c r="H38" s="35">
        <v>0</v>
      </c>
      <c r="I38" s="35">
        <v>0</v>
      </c>
      <c r="J38" s="35">
        <v>0</v>
      </c>
      <c r="K38" s="35">
        <v>0</v>
      </c>
      <c r="L38" s="35">
        <v>0</v>
      </c>
      <c r="M38" s="35">
        <v>0</v>
      </c>
      <c r="N38" s="125"/>
    </row>
    <row r="39" spans="1:14" ht="129.75" customHeight="1">
      <c r="A39" s="26">
        <v>22</v>
      </c>
      <c r="B39" s="27" t="s">
        <v>73</v>
      </c>
      <c r="C39" s="28" t="s">
        <v>22</v>
      </c>
      <c r="D39" s="42">
        <v>53.333333333333336</v>
      </c>
      <c r="E39" s="42">
        <v>53.333333333333336</v>
      </c>
      <c r="F39" s="33">
        <v>53.333333333333336</v>
      </c>
      <c r="G39" s="33">
        <v>54.54545454545454</v>
      </c>
      <c r="H39" s="33">
        <v>59.09090909090909</v>
      </c>
      <c r="I39" s="33">
        <v>54.54545454545454</v>
      </c>
      <c r="J39" s="33">
        <v>50</v>
      </c>
      <c r="K39" s="33">
        <v>45.45454545454545</v>
      </c>
      <c r="L39" s="33">
        <v>40.909090909090914</v>
      </c>
      <c r="M39" s="33">
        <v>36.36363636363637</v>
      </c>
      <c r="N39" s="32" t="s">
        <v>74</v>
      </c>
    </row>
    <row r="40" spans="1:14" ht="30" customHeight="1">
      <c r="A40" s="124" t="s">
        <v>75</v>
      </c>
      <c r="B40" s="124"/>
      <c r="C40" s="124"/>
      <c r="D40" s="124"/>
      <c r="E40" s="124"/>
      <c r="F40" s="124"/>
      <c r="G40" s="124"/>
      <c r="H40" s="124"/>
      <c r="I40" s="124"/>
      <c r="J40" s="124"/>
      <c r="K40" s="124"/>
      <c r="L40" s="124"/>
      <c r="M40" s="124"/>
      <c r="N40" s="124"/>
    </row>
    <row r="41" spans="1:14" ht="78" customHeight="1">
      <c r="A41" s="26">
        <v>23</v>
      </c>
      <c r="B41" s="27" t="s">
        <v>76</v>
      </c>
      <c r="C41" s="28" t="s">
        <v>22</v>
      </c>
      <c r="D41" s="29">
        <v>15.804778371581262</v>
      </c>
      <c r="E41" s="29">
        <v>17.12481601320625</v>
      </c>
      <c r="F41" s="30">
        <v>17.154587759677085</v>
      </c>
      <c r="G41" s="30">
        <v>17.659976186960634</v>
      </c>
      <c r="H41" s="30">
        <v>17.96865956934281</v>
      </c>
      <c r="I41" s="30">
        <v>18.08630640905929</v>
      </c>
      <c r="J41" s="30">
        <v>19.942865345513226</v>
      </c>
      <c r="K41" s="30">
        <v>20</v>
      </c>
      <c r="L41" s="30">
        <v>20</v>
      </c>
      <c r="M41" s="30">
        <v>20</v>
      </c>
      <c r="N41" s="32" t="s">
        <v>77</v>
      </c>
    </row>
    <row r="42" spans="1:14" ht="69.75" customHeight="1">
      <c r="A42" s="26" t="s">
        <v>78</v>
      </c>
      <c r="B42" s="27" t="s">
        <v>79</v>
      </c>
      <c r="C42" s="28" t="s">
        <v>22</v>
      </c>
      <c r="D42" s="29"/>
      <c r="E42" s="29"/>
      <c r="F42" s="49" t="s">
        <v>80</v>
      </c>
      <c r="G42" s="49">
        <v>38</v>
      </c>
      <c r="H42" s="30">
        <v>38.7618735669833</v>
      </c>
      <c r="I42" s="30">
        <v>46.410891089108915</v>
      </c>
      <c r="J42" s="30">
        <v>48.89411764705882</v>
      </c>
      <c r="K42" s="30">
        <v>48.94117647058824</v>
      </c>
      <c r="L42" s="30">
        <v>49.254901960784316</v>
      </c>
      <c r="M42" s="30">
        <v>49.568627450980394</v>
      </c>
      <c r="N42" s="32" t="s">
        <v>81</v>
      </c>
    </row>
    <row r="43" spans="1:14" ht="23.25" customHeight="1">
      <c r="A43" s="124" t="s">
        <v>82</v>
      </c>
      <c r="B43" s="124"/>
      <c r="C43" s="124"/>
      <c r="D43" s="124"/>
      <c r="E43" s="124"/>
      <c r="F43" s="124"/>
      <c r="G43" s="124"/>
      <c r="H43" s="124"/>
      <c r="I43" s="124"/>
      <c r="J43" s="124"/>
      <c r="K43" s="124"/>
      <c r="L43" s="124"/>
      <c r="M43" s="124"/>
      <c r="N43" s="124"/>
    </row>
    <row r="44" spans="1:14" ht="49.5" customHeight="1">
      <c r="A44" s="26">
        <v>24</v>
      </c>
      <c r="B44" s="27" t="s">
        <v>83</v>
      </c>
      <c r="C44" s="28" t="s">
        <v>84</v>
      </c>
      <c r="D44" s="34">
        <v>25.3</v>
      </c>
      <c r="E44" s="29">
        <v>25.905273216486027</v>
      </c>
      <c r="F44" s="30">
        <v>26.578842968961546</v>
      </c>
      <c r="G44" s="30">
        <v>27.284618995462367</v>
      </c>
      <c r="H44" s="30">
        <v>27.780297887383426</v>
      </c>
      <c r="I44" s="30">
        <v>28.497676009703955</v>
      </c>
      <c r="J44" s="30">
        <v>29.10011797987999</v>
      </c>
      <c r="K44" s="30">
        <v>29.558830280308275</v>
      </c>
      <c r="L44" s="30">
        <v>29.943004028553244</v>
      </c>
      <c r="M44" s="30">
        <v>30.35738049085256</v>
      </c>
      <c r="N44" s="50" t="s">
        <v>85</v>
      </c>
    </row>
    <row r="45" spans="1:14" ht="19.5" customHeight="1">
      <c r="A45" s="26"/>
      <c r="B45" s="27" t="s">
        <v>86</v>
      </c>
      <c r="C45" s="28" t="s">
        <v>84</v>
      </c>
      <c r="D45" s="51">
        <v>0.6</v>
      </c>
      <c r="E45" s="51">
        <v>0.66</v>
      </c>
      <c r="F45" s="46">
        <v>0.7524133675056517</v>
      </c>
      <c r="G45" s="46">
        <v>0.81</v>
      </c>
      <c r="H45" s="46">
        <v>0.81</v>
      </c>
      <c r="I45" s="46">
        <v>0.65</v>
      </c>
      <c r="J45" s="46">
        <v>0.3533451851197509</v>
      </c>
      <c r="K45" s="46">
        <v>0.40944631921803426</v>
      </c>
      <c r="L45" s="46">
        <v>0.37579236971422214</v>
      </c>
      <c r="M45" s="46">
        <v>0.4124853826324963</v>
      </c>
      <c r="N45" s="52"/>
    </row>
    <row r="46" spans="1:14" ht="74.25" customHeight="1">
      <c r="A46" s="26">
        <v>25</v>
      </c>
      <c r="B46" s="27" t="s">
        <v>87</v>
      </c>
      <c r="C46" s="28" t="s">
        <v>88</v>
      </c>
      <c r="D46" s="53">
        <v>3.3776894058472173</v>
      </c>
      <c r="E46" s="53">
        <v>1.0935202126557808</v>
      </c>
      <c r="F46" s="54">
        <v>1.5274907275051477</v>
      </c>
      <c r="G46" s="54">
        <v>2.1767185129102486</v>
      </c>
      <c r="H46" s="54">
        <v>0.13427680138672907</v>
      </c>
      <c r="I46" s="54">
        <v>0.04223198450846333</v>
      </c>
      <c r="J46" s="54">
        <v>0.1015835858542041</v>
      </c>
      <c r="K46" s="33">
        <v>0</v>
      </c>
      <c r="L46" s="33">
        <v>0</v>
      </c>
      <c r="M46" s="55">
        <v>0</v>
      </c>
      <c r="N46" s="56" t="s">
        <v>89</v>
      </c>
    </row>
    <row r="47" spans="1:14" ht="19.5" customHeight="1">
      <c r="A47" s="26"/>
      <c r="B47" s="27" t="s">
        <v>90</v>
      </c>
      <c r="C47" s="28"/>
      <c r="D47" s="57"/>
      <c r="E47" s="57"/>
      <c r="F47" s="58"/>
      <c r="G47" s="59"/>
      <c r="H47" s="59"/>
      <c r="I47" s="59"/>
      <c r="J47" s="59"/>
      <c r="K47" s="59"/>
      <c r="L47" s="59"/>
      <c r="M47" s="60"/>
      <c r="N47" s="126" t="s">
        <v>91</v>
      </c>
    </row>
    <row r="48" spans="1:14" ht="84" customHeight="1">
      <c r="A48" s="26"/>
      <c r="B48" s="27" t="s">
        <v>92</v>
      </c>
      <c r="C48" s="28" t="s">
        <v>88</v>
      </c>
      <c r="D48" s="53">
        <v>1.9207796290474692</v>
      </c>
      <c r="E48" s="53">
        <v>0.3372364163609374</v>
      </c>
      <c r="F48" s="54">
        <v>0.7435974131471068</v>
      </c>
      <c r="G48" s="54">
        <v>1.7376607301618219</v>
      </c>
      <c r="H48" s="54">
        <v>0.0495868285768818</v>
      </c>
      <c r="I48" s="54">
        <v>0.04223198450846331</v>
      </c>
      <c r="J48" s="54">
        <v>0.04747760438274225</v>
      </c>
      <c r="K48" s="33">
        <v>0</v>
      </c>
      <c r="L48" s="33">
        <v>0</v>
      </c>
      <c r="M48" s="55">
        <v>0</v>
      </c>
      <c r="N48" s="126"/>
    </row>
    <row r="49" spans="1:14" ht="157.5" customHeight="1">
      <c r="A49" s="26">
        <v>26</v>
      </c>
      <c r="B49" s="27" t="s">
        <v>93</v>
      </c>
      <c r="C49" s="28"/>
      <c r="D49" s="37"/>
      <c r="E49" s="37"/>
      <c r="F49" s="38"/>
      <c r="G49" s="38"/>
      <c r="H49" s="38"/>
      <c r="I49" s="38"/>
      <c r="J49" s="38"/>
      <c r="K49" s="38"/>
      <c r="L49" s="38"/>
      <c r="M49" s="38"/>
      <c r="N49" s="127"/>
    </row>
    <row r="50" spans="1:14" ht="36" customHeight="1">
      <c r="A50" s="26"/>
      <c r="B50" s="27" t="s">
        <v>94</v>
      </c>
      <c r="C50" s="28" t="s">
        <v>95</v>
      </c>
      <c r="D50" s="34">
        <v>7817</v>
      </c>
      <c r="E50" s="34">
        <v>127000</v>
      </c>
      <c r="F50" s="35">
        <v>107500</v>
      </c>
      <c r="G50" s="35">
        <v>112000</v>
      </c>
      <c r="H50" s="61">
        <v>17108</v>
      </c>
      <c r="I50" s="61">
        <v>17108</v>
      </c>
      <c r="J50" s="61">
        <v>28294</v>
      </c>
      <c r="K50" s="61" t="s">
        <v>96</v>
      </c>
      <c r="L50" s="61" t="s">
        <v>96</v>
      </c>
      <c r="M50" s="61" t="s">
        <v>96</v>
      </c>
      <c r="N50" s="127"/>
    </row>
    <row r="51" spans="1:14" ht="34.5" customHeight="1">
      <c r="A51" s="26"/>
      <c r="B51" s="27" t="s">
        <v>97</v>
      </c>
      <c r="C51" s="28" t="s">
        <v>95</v>
      </c>
      <c r="D51" s="34">
        <v>53470</v>
      </c>
      <c r="E51" s="34">
        <v>58000</v>
      </c>
      <c r="F51" s="35">
        <v>41200</v>
      </c>
      <c r="G51" s="35">
        <v>58000</v>
      </c>
      <c r="H51" s="61">
        <v>27441</v>
      </c>
      <c r="I51" s="61">
        <v>27441</v>
      </c>
      <c r="J51" s="61">
        <v>31555</v>
      </c>
      <c r="K51" s="61" t="s">
        <v>96</v>
      </c>
      <c r="L51" s="61" t="s">
        <v>96</v>
      </c>
      <c r="M51" s="61" t="s">
        <v>96</v>
      </c>
      <c r="N51" s="127"/>
    </row>
    <row r="52" spans="1:14" ht="24" customHeight="1">
      <c r="A52" s="124" t="s">
        <v>98</v>
      </c>
      <c r="B52" s="124"/>
      <c r="C52" s="124"/>
      <c r="D52" s="124"/>
      <c r="E52" s="124"/>
      <c r="F52" s="124"/>
      <c r="G52" s="124"/>
      <c r="H52" s="124"/>
      <c r="I52" s="124"/>
      <c r="J52" s="124"/>
      <c r="K52" s="124"/>
      <c r="L52" s="124"/>
      <c r="M52" s="124"/>
      <c r="N52" s="124"/>
    </row>
    <row r="53" spans="1:14" ht="150" customHeight="1">
      <c r="A53" s="26">
        <v>27</v>
      </c>
      <c r="B53" s="27" t="s">
        <v>99</v>
      </c>
      <c r="C53" s="28" t="s">
        <v>33</v>
      </c>
      <c r="D53" s="34">
        <v>100</v>
      </c>
      <c r="E53" s="34">
        <v>100</v>
      </c>
      <c r="F53" s="35">
        <v>100</v>
      </c>
      <c r="G53" s="35">
        <v>99.6</v>
      </c>
      <c r="H53" s="35">
        <v>97</v>
      </c>
      <c r="I53" s="30">
        <v>96.01</v>
      </c>
      <c r="J53" s="30">
        <v>95.74579831932773</v>
      </c>
      <c r="K53" s="35">
        <v>100</v>
      </c>
      <c r="L53" s="35">
        <v>100</v>
      </c>
      <c r="M53" s="35">
        <v>100</v>
      </c>
      <c r="N53" s="32" t="s">
        <v>100</v>
      </c>
    </row>
    <row r="54" spans="1:14" ht="342" customHeight="1">
      <c r="A54" s="26">
        <v>28</v>
      </c>
      <c r="B54" s="27" t="s">
        <v>101</v>
      </c>
      <c r="C54" s="28" t="s">
        <v>22</v>
      </c>
      <c r="D54" s="34">
        <v>85</v>
      </c>
      <c r="E54" s="34">
        <v>86.4</v>
      </c>
      <c r="F54" s="35">
        <v>90.5</v>
      </c>
      <c r="G54" s="30">
        <v>92</v>
      </c>
      <c r="H54" s="30">
        <v>94.7</v>
      </c>
      <c r="I54" s="30">
        <v>94.3</v>
      </c>
      <c r="J54" s="30">
        <v>94.7</v>
      </c>
      <c r="K54" s="30">
        <v>94.7</v>
      </c>
      <c r="L54" s="30">
        <v>94.7</v>
      </c>
      <c r="M54" s="30">
        <v>94.7</v>
      </c>
      <c r="N54" s="32" t="s">
        <v>102</v>
      </c>
    </row>
    <row r="55" spans="1:14" ht="87.75" customHeight="1">
      <c r="A55" s="26">
        <v>29</v>
      </c>
      <c r="B55" s="27" t="s">
        <v>103</v>
      </c>
      <c r="C55" s="28" t="s">
        <v>33</v>
      </c>
      <c r="D55" s="34">
        <v>100</v>
      </c>
      <c r="E55" s="34">
        <v>100</v>
      </c>
      <c r="F55" s="35">
        <v>100</v>
      </c>
      <c r="G55" s="35">
        <v>100</v>
      </c>
      <c r="H55" s="35">
        <v>100</v>
      </c>
      <c r="I55" s="35">
        <v>100</v>
      </c>
      <c r="J55" s="35">
        <v>100</v>
      </c>
      <c r="K55" s="35">
        <v>100</v>
      </c>
      <c r="L55" s="35">
        <v>100</v>
      </c>
      <c r="M55" s="35">
        <v>100</v>
      </c>
      <c r="N55" s="32" t="s">
        <v>104</v>
      </c>
    </row>
    <row r="56" spans="1:14" ht="162" customHeight="1">
      <c r="A56" s="26">
        <v>30</v>
      </c>
      <c r="B56" s="27" t="s">
        <v>105</v>
      </c>
      <c r="C56" s="28" t="s">
        <v>33</v>
      </c>
      <c r="D56" s="29">
        <v>5.933623868588669</v>
      </c>
      <c r="E56" s="29">
        <v>6.423761008461406</v>
      </c>
      <c r="F56" s="30">
        <v>7.1</v>
      </c>
      <c r="G56" s="30">
        <v>7.219413549039435</v>
      </c>
      <c r="H56" s="30">
        <v>6.165473349244232</v>
      </c>
      <c r="I56" s="30">
        <v>6.314357878375752</v>
      </c>
      <c r="J56" s="30">
        <v>3.2082060235704932</v>
      </c>
      <c r="K56" s="35">
        <v>3.2</v>
      </c>
      <c r="L56" s="30">
        <v>3.258426966292135</v>
      </c>
      <c r="M56" s="30">
        <v>3.4090909090909087</v>
      </c>
      <c r="N56" s="32" t="s">
        <v>106</v>
      </c>
    </row>
    <row r="57" spans="1:14" ht="33" customHeight="1">
      <c r="A57" s="124" t="s">
        <v>107</v>
      </c>
      <c r="B57" s="124"/>
      <c r="C57" s="124"/>
      <c r="D57" s="124"/>
      <c r="E57" s="124"/>
      <c r="F57" s="124"/>
      <c r="G57" s="124"/>
      <c r="H57" s="124"/>
      <c r="I57" s="124"/>
      <c r="J57" s="124"/>
      <c r="K57" s="124"/>
      <c r="L57" s="124"/>
      <c r="M57" s="124"/>
      <c r="N57" s="124"/>
    </row>
    <row r="58" spans="1:14" ht="264" customHeight="1">
      <c r="A58" s="26">
        <v>31</v>
      </c>
      <c r="B58" s="27" t="s">
        <v>108</v>
      </c>
      <c r="C58" s="28" t="s">
        <v>33</v>
      </c>
      <c r="D58" s="34">
        <v>72.1</v>
      </c>
      <c r="E58" s="29">
        <v>64.2</v>
      </c>
      <c r="F58" s="30">
        <v>65.1</v>
      </c>
      <c r="G58" s="30">
        <v>58.18130944474733</v>
      </c>
      <c r="H58" s="30">
        <v>59.9</v>
      </c>
      <c r="I58" s="30">
        <v>57.2</v>
      </c>
      <c r="J58" s="30">
        <v>74.9</v>
      </c>
      <c r="K58" s="30">
        <v>96.1</v>
      </c>
      <c r="L58" s="30">
        <v>100</v>
      </c>
      <c r="M58" s="30">
        <v>100</v>
      </c>
      <c r="N58" s="32" t="s">
        <v>109</v>
      </c>
    </row>
    <row r="59" spans="1:14" ht="135.75" customHeight="1">
      <c r="A59" s="26">
        <v>32</v>
      </c>
      <c r="B59" s="27" t="s">
        <v>110</v>
      </c>
      <c r="C59" s="28" t="s">
        <v>33</v>
      </c>
      <c r="D59" s="51">
        <v>0.34</v>
      </c>
      <c r="E59" s="51">
        <v>0.33</v>
      </c>
      <c r="F59" s="46">
        <v>0.29</v>
      </c>
      <c r="G59" s="46">
        <v>0.24</v>
      </c>
      <c r="H59" s="46">
        <v>0.1755195431497808</v>
      </c>
      <c r="I59" s="46">
        <v>0.0532916878510577</v>
      </c>
      <c r="J59" s="46">
        <v>0.16374137638455016</v>
      </c>
      <c r="K59" s="30">
        <v>0</v>
      </c>
      <c r="L59" s="30">
        <v>0</v>
      </c>
      <c r="M59" s="30">
        <v>0</v>
      </c>
      <c r="N59" s="32" t="s">
        <v>111</v>
      </c>
    </row>
    <row r="60" spans="1:14" ht="88.5" customHeight="1">
      <c r="A60" s="26">
        <v>33</v>
      </c>
      <c r="B60" s="27" t="s">
        <v>112</v>
      </c>
      <c r="C60" s="28" t="s">
        <v>113</v>
      </c>
      <c r="D60" s="51">
        <v>0</v>
      </c>
      <c r="E60" s="51">
        <v>0</v>
      </c>
      <c r="F60" s="46">
        <v>0</v>
      </c>
      <c r="G60" s="46">
        <v>0</v>
      </c>
      <c r="H60" s="46">
        <v>0</v>
      </c>
      <c r="I60" s="46">
        <v>0</v>
      </c>
      <c r="J60" s="46">
        <v>0</v>
      </c>
      <c r="K60" s="46">
        <v>0</v>
      </c>
      <c r="L60" s="46">
        <v>0</v>
      </c>
      <c r="M60" s="46">
        <v>0</v>
      </c>
      <c r="N60" s="32"/>
    </row>
    <row r="61" spans="1:14" ht="141" customHeight="1">
      <c r="A61" s="26">
        <v>34</v>
      </c>
      <c r="B61" s="27" t="s">
        <v>114</v>
      </c>
      <c r="C61" s="28" t="s">
        <v>33</v>
      </c>
      <c r="D61" s="29">
        <v>0</v>
      </c>
      <c r="E61" s="29">
        <v>0</v>
      </c>
      <c r="F61" s="30">
        <v>0</v>
      </c>
      <c r="G61" s="30">
        <v>0.3</v>
      </c>
      <c r="H61" s="30">
        <v>0.5</v>
      </c>
      <c r="I61" s="30">
        <v>3.9</v>
      </c>
      <c r="J61" s="30">
        <v>3.4</v>
      </c>
      <c r="K61" s="30">
        <v>0</v>
      </c>
      <c r="L61" s="30">
        <v>0</v>
      </c>
      <c r="M61" s="30">
        <v>0</v>
      </c>
      <c r="N61" s="32" t="s">
        <v>115</v>
      </c>
    </row>
    <row r="62" spans="1:14" ht="135" customHeight="1">
      <c r="A62" s="26">
        <v>35</v>
      </c>
      <c r="B62" s="27" t="s">
        <v>116</v>
      </c>
      <c r="C62" s="28" t="s">
        <v>25</v>
      </c>
      <c r="D62" s="29">
        <v>984.2307450487267</v>
      </c>
      <c r="E62" s="29">
        <v>979.4895131450521</v>
      </c>
      <c r="F62" s="30">
        <v>1080.757290479399</v>
      </c>
      <c r="G62" s="30">
        <v>1043.1594059934719</v>
      </c>
      <c r="H62" s="30">
        <v>1057.5</v>
      </c>
      <c r="I62" s="30">
        <v>917.354343834406</v>
      </c>
      <c r="J62" s="30">
        <v>979.2409703742146</v>
      </c>
      <c r="K62" s="30">
        <v>870.330776202653</v>
      </c>
      <c r="L62" s="30">
        <v>855.0690987738745</v>
      </c>
      <c r="M62" s="30">
        <v>864.4577881369297</v>
      </c>
      <c r="N62" s="32" t="s">
        <v>117</v>
      </c>
    </row>
    <row r="63" spans="1:14" ht="105.75" customHeight="1">
      <c r="A63" s="26">
        <v>36</v>
      </c>
      <c r="B63" s="27" t="s">
        <v>118</v>
      </c>
      <c r="C63" s="28" t="s">
        <v>119</v>
      </c>
      <c r="D63" s="62" t="s">
        <v>120</v>
      </c>
      <c r="E63" s="62" t="s">
        <v>120</v>
      </c>
      <c r="F63" s="62" t="s">
        <v>120</v>
      </c>
      <c r="G63" s="62" t="s">
        <v>120</v>
      </c>
      <c r="H63" s="62" t="s">
        <v>120</v>
      </c>
      <c r="I63" s="62" t="s">
        <v>120</v>
      </c>
      <c r="J63" s="62" t="s">
        <v>120</v>
      </c>
      <c r="K63" s="62" t="s">
        <v>120</v>
      </c>
      <c r="L63" s="62" t="s">
        <v>120</v>
      </c>
      <c r="M63" s="62" t="s">
        <v>120</v>
      </c>
      <c r="N63" s="32" t="s">
        <v>121</v>
      </c>
    </row>
    <row r="64" spans="1:14" ht="72.75" customHeight="1">
      <c r="A64" s="26">
        <v>37</v>
      </c>
      <c r="B64" s="27" t="s">
        <v>122</v>
      </c>
      <c r="C64" s="28" t="s">
        <v>123</v>
      </c>
      <c r="D64" s="34">
        <v>34.9</v>
      </c>
      <c r="E64" s="29">
        <v>37.7</v>
      </c>
      <c r="F64" s="35">
        <v>23.6</v>
      </c>
      <c r="G64" s="35">
        <v>40.8</v>
      </c>
      <c r="H64" s="35">
        <v>36.9</v>
      </c>
      <c r="I64" s="35">
        <v>36.3</v>
      </c>
      <c r="J64" s="35"/>
      <c r="K64" s="35"/>
      <c r="L64" s="35"/>
      <c r="M64" s="35"/>
      <c r="N64" s="32" t="s">
        <v>124</v>
      </c>
    </row>
    <row r="65" spans="1:14" ht="60.75" customHeight="1">
      <c r="A65" s="26">
        <v>38</v>
      </c>
      <c r="B65" s="27" t="s">
        <v>125</v>
      </c>
      <c r="C65" s="28" t="s">
        <v>126</v>
      </c>
      <c r="D65" s="34">
        <v>318.1</v>
      </c>
      <c r="E65" s="53">
        <v>318.637</v>
      </c>
      <c r="F65" s="54">
        <v>317.606</v>
      </c>
      <c r="G65" s="54">
        <v>318.313</v>
      </c>
      <c r="H65" s="54">
        <v>319.601</v>
      </c>
      <c r="I65" s="54">
        <v>319.142</v>
      </c>
      <c r="J65" s="54">
        <v>316.9705</v>
      </c>
      <c r="K65" s="54">
        <v>315.00149999999996</v>
      </c>
      <c r="L65" s="54">
        <v>314.405</v>
      </c>
      <c r="M65" s="54">
        <v>313.83950000000004</v>
      </c>
      <c r="N65" s="32" t="s">
        <v>127</v>
      </c>
    </row>
    <row r="66" spans="1:14" ht="31.5" customHeight="1">
      <c r="A66" s="124" t="s">
        <v>128</v>
      </c>
      <c r="B66" s="124"/>
      <c r="C66" s="124"/>
      <c r="D66" s="124"/>
      <c r="E66" s="124"/>
      <c r="F66" s="124"/>
      <c r="G66" s="124"/>
      <c r="H66" s="124"/>
      <c r="I66" s="124"/>
      <c r="J66" s="124"/>
      <c r="K66" s="124"/>
      <c r="L66" s="124"/>
      <c r="M66" s="124"/>
      <c r="N66" s="124"/>
    </row>
    <row r="67" spans="1:14" ht="54" customHeight="1">
      <c r="A67" s="26">
        <v>39</v>
      </c>
      <c r="B67" s="27" t="s">
        <v>129</v>
      </c>
      <c r="C67" s="28"/>
      <c r="D67" s="57"/>
      <c r="E67" s="57"/>
      <c r="F67" s="58"/>
      <c r="G67" s="58"/>
      <c r="H67" s="58"/>
      <c r="I67" s="58"/>
      <c r="J67" s="58"/>
      <c r="K67" s="58"/>
      <c r="L67" s="58"/>
      <c r="M67" s="58"/>
      <c r="N67" s="63" t="s">
        <v>130</v>
      </c>
    </row>
    <row r="68" spans="1:14" ht="30" customHeight="1">
      <c r="A68" s="26"/>
      <c r="B68" s="27" t="s">
        <v>131</v>
      </c>
      <c r="C68" s="28" t="s">
        <v>132</v>
      </c>
      <c r="D68" s="29">
        <v>664.93</v>
      </c>
      <c r="E68" s="29">
        <v>661.6</v>
      </c>
      <c r="F68" s="30">
        <v>658.4</v>
      </c>
      <c r="G68" s="30">
        <v>638.6</v>
      </c>
      <c r="H68" s="30">
        <v>637.9</v>
      </c>
      <c r="I68" s="30">
        <v>637.3</v>
      </c>
      <c r="J68" s="30">
        <v>629.8</v>
      </c>
      <c r="K68" s="30">
        <v>629.4</v>
      </c>
      <c r="L68" s="30">
        <v>629</v>
      </c>
      <c r="M68" s="30">
        <v>629</v>
      </c>
      <c r="N68" s="64"/>
    </row>
    <row r="69" spans="1:14" ht="36" customHeight="1">
      <c r="A69" s="26"/>
      <c r="B69" s="27" t="s">
        <v>133</v>
      </c>
      <c r="C69" s="28" t="s">
        <v>134</v>
      </c>
      <c r="D69" s="51">
        <v>0.2</v>
      </c>
      <c r="E69" s="34">
        <v>0.19</v>
      </c>
      <c r="F69" s="35">
        <v>0.17</v>
      </c>
      <c r="G69" s="35">
        <v>0.16</v>
      </c>
      <c r="H69" s="35">
        <v>0.157</v>
      </c>
      <c r="I69" s="35">
        <v>0.155</v>
      </c>
      <c r="J69" s="35">
        <v>0.15</v>
      </c>
      <c r="K69" s="35">
        <v>0.14</v>
      </c>
      <c r="L69" s="35">
        <v>0.14</v>
      </c>
      <c r="M69" s="35">
        <v>0.14</v>
      </c>
      <c r="N69" s="64"/>
    </row>
    <row r="70" spans="1:14" ht="30" customHeight="1">
      <c r="A70" s="26"/>
      <c r="B70" s="27" t="s">
        <v>135</v>
      </c>
      <c r="C70" s="28" t="s">
        <v>136</v>
      </c>
      <c r="D70" s="29">
        <v>21.1</v>
      </c>
      <c r="E70" s="29">
        <v>21.1</v>
      </c>
      <c r="F70" s="30">
        <v>20.3</v>
      </c>
      <c r="G70" s="30">
        <v>19.7</v>
      </c>
      <c r="H70" s="46">
        <v>18.12</v>
      </c>
      <c r="I70" s="30">
        <v>17.5</v>
      </c>
      <c r="J70" s="46">
        <v>17.62</v>
      </c>
      <c r="K70" s="46">
        <v>17.58</v>
      </c>
      <c r="L70" s="30">
        <v>17</v>
      </c>
      <c r="M70" s="30">
        <v>17</v>
      </c>
      <c r="N70" s="64"/>
    </row>
    <row r="71" spans="1:14" ht="29.25" customHeight="1">
      <c r="A71" s="26"/>
      <c r="B71" s="27" t="s">
        <v>137</v>
      </c>
      <c r="C71" s="28" t="s">
        <v>136</v>
      </c>
      <c r="D71" s="29">
        <v>83.59</v>
      </c>
      <c r="E71" s="29">
        <v>80.3</v>
      </c>
      <c r="F71" s="30">
        <v>75.3</v>
      </c>
      <c r="G71" s="30">
        <v>74.9</v>
      </c>
      <c r="H71" s="30">
        <v>69.97</v>
      </c>
      <c r="I71" s="30">
        <v>69.1</v>
      </c>
      <c r="J71" s="30">
        <v>68.9</v>
      </c>
      <c r="K71" s="30">
        <v>68.5</v>
      </c>
      <c r="L71" s="30">
        <v>68.5</v>
      </c>
      <c r="M71" s="30">
        <v>68.5</v>
      </c>
      <c r="N71" s="64"/>
    </row>
    <row r="72" spans="1:14" ht="30" customHeight="1">
      <c r="A72" s="26"/>
      <c r="B72" s="27" t="s">
        <v>138</v>
      </c>
      <c r="C72" s="28" t="s">
        <v>136</v>
      </c>
      <c r="D72" s="29">
        <v>439.14</v>
      </c>
      <c r="E72" s="29">
        <v>432.3</v>
      </c>
      <c r="F72" s="30">
        <v>425</v>
      </c>
      <c r="G72" s="30">
        <v>416.9</v>
      </c>
      <c r="H72" s="30">
        <v>416.2</v>
      </c>
      <c r="I72" s="30">
        <v>412.5</v>
      </c>
      <c r="J72" s="30">
        <v>412</v>
      </c>
      <c r="K72" s="30">
        <v>410</v>
      </c>
      <c r="L72" s="30">
        <v>409</v>
      </c>
      <c r="M72" s="30">
        <v>408</v>
      </c>
      <c r="N72" s="65"/>
    </row>
    <row r="73" spans="1:14" ht="71.25" customHeight="1">
      <c r="A73" s="26">
        <v>40</v>
      </c>
      <c r="B73" s="27" t="s">
        <v>139</v>
      </c>
      <c r="C73" s="28"/>
      <c r="D73" s="37"/>
      <c r="E73" s="37"/>
      <c r="F73" s="38"/>
      <c r="G73" s="38"/>
      <c r="H73" s="38"/>
      <c r="I73" s="38"/>
      <c r="J73" s="38"/>
      <c r="K73" s="38"/>
      <c r="L73" s="38"/>
      <c r="M73" s="38"/>
      <c r="N73" s="128" t="s">
        <v>140</v>
      </c>
    </row>
    <row r="74" spans="1:14" ht="41.25" customHeight="1">
      <c r="A74" s="26"/>
      <c r="B74" s="27" t="s">
        <v>141</v>
      </c>
      <c r="C74" s="28" t="s">
        <v>142</v>
      </c>
      <c r="D74" s="53">
        <v>30.206</v>
      </c>
      <c r="E74" s="53">
        <v>33.841</v>
      </c>
      <c r="F74" s="54">
        <v>33.116</v>
      </c>
      <c r="G74" s="54">
        <v>36.37</v>
      </c>
      <c r="H74" s="54">
        <v>36.769</v>
      </c>
      <c r="I74" s="54">
        <v>36.98</v>
      </c>
      <c r="J74" s="54">
        <v>36.1390631950557</v>
      </c>
      <c r="K74" s="54">
        <v>36.36507503150784</v>
      </c>
      <c r="L74" s="54">
        <v>36.43401027337352</v>
      </c>
      <c r="M74" s="54">
        <v>36.49971800827813</v>
      </c>
      <c r="N74" s="128"/>
    </row>
    <row r="75" spans="1:14" ht="33.75" customHeight="1">
      <c r="A75" s="26"/>
      <c r="B75" s="27" t="s">
        <v>143</v>
      </c>
      <c r="C75" s="28" t="s">
        <v>144</v>
      </c>
      <c r="D75" s="53">
        <v>0.185</v>
      </c>
      <c r="E75" s="53">
        <v>0.173</v>
      </c>
      <c r="F75" s="54">
        <v>0.129</v>
      </c>
      <c r="G75" s="54">
        <v>0.203</v>
      </c>
      <c r="H75" s="54">
        <v>0.199</v>
      </c>
      <c r="I75" s="54">
        <v>0.182</v>
      </c>
      <c r="J75" s="54">
        <v>0.13047734736557343</v>
      </c>
      <c r="K75" s="54">
        <v>0.13168927055363933</v>
      </c>
      <c r="L75" s="54">
        <v>0.13168927055363933</v>
      </c>
      <c r="M75" s="54">
        <v>0.131688392221136</v>
      </c>
      <c r="N75" s="128"/>
    </row>
    <row r="76" spans="1:14" ht="39.75" customHeight="1">
      <c r="A76" s="26"/>
      <c r="B76" s="27" t="s">
        <v>145</v>
      </c>
      <c r="C76" s="28" t="s">
        <v>146</v>
      </c>
      <c r="D76" s="53">
        <v>0.189</v>
      </c>
      <c r="E76" s="53">
        <v>0.195</v>
      </c>
      <c r="F76" s="54">
        <v>0.194</v>
      </c>
      <c r="G76" s="54">
        <v>0.299</v>
      </c>
      <c r="H76" s="54">
        <v>0.31</v>
      </c>
      <c r="I76" s="54">
        <v>0.304</v>
      </c>
      <c r="J76" s="54">
        <v>0.2728912108678712</v>
      </c>
      <c r="K76" s="54">
        <v>0.27459785841949713</v>
      </c>
      <c r="L76" s="54">
        <v>0.2764588667483024</v>
      </c>
      <c r="M76" s="54">
        <v>0.27695745270664257</v>
      </c>
      <c r="N76" s="128"/>
    </row>
    <row r="77" spans="1:14" ht="39" customHeight="1">
      <c r="A77" s="26"/>
      <c r="B77" s="27" t="s">
        <v>147</v>
      </c>
      <c r="C77" s="28" t="s">
        <v>146</v>
      </c>
      <c r="D77" s="53">
        <v>1.261</v>
      </c>
      <c r="E77" s="53">
        <v>1.371</v>
      </c>
      <c r="F77" s="54">
        <v>1.356</v>
      </c>
      <c r="G77" s="54">
        <v>1.784</v>
      </c>
      <c r="H77" s="54">
        <v>1.789</v>
      </c>
      <c r="I77" s="54">
        <v>1.788</v>
      </c>
      <c r="J77" s="54">
        <v>1.1793870732653775</v>
      </c>
      <c r="K77" s="54">
        <v>1.1867628991653996</v>
      </c>
      <c r="L77" s="54">
        <v>1.1948267362160272</v>
      </c>
      <c r="M77" s="54">
        <v>1.1969815733544906</v>
      </c>
      <c r="N77" s="128"/>
    </row>
    <row r="78" spans="1:14" ht="39" customHeight="1">
      <c r="A78" s="26"/>
      <c r="B78" s="27" t="s">
        <v>138</v>
      </c>
      <c r="C78" s="28" t="s">
        <v>146</v>
      </c>
      <c r="D78" s="53">
        <v>1.312</v>
      </c>
      <c r="E78" s="53">
        <v>0.954</v>
      </c>
      <c r="F78" s="54">
        <v>0.768</v>
      </c>
      <c r="G78" s="54">
        <v>1.047</v>
      </c>
      <c r="H78" s="54">
        <v>1.009</v>
      </c>
      <c r="I78" s="54">
        <v>1.017</v>
      </c>
      <c r="J78" s="54">
        <v>4.5464758605676865</v>
      </c>
      <c r="K78" s="54">
        <v>4.574909286002267</v>
      </c>
      <c r="L78" s="54">
        <v>4.606497988263547</v>
      </c>
      <c r="M78" s="54">
        <v>4.614805680619681</v>
      </c>
      <c r="N78" s="128"/>
    </row>
  </sheetData>
  <sheetProtection selectLockedCells="1" selectUnlockedCells="1"/>
  <mergeCells count="23">
    <mergeCell ref="A66:N66"/>
    <mergeCell ref="N73:N78"/>
    <mergeCell ref="A40:N40"/>
    <mergeCell ref="A43:N43"/>
    <mergeCell ref="N47:N48"/>
    <mergeCell ref="N49:N51"/>
    <mergeCell ref="A52:N52"/>
    <mergeCell ref="A57:N57"/>
    <mergeCell ref="A6:N6"/>
    <mergeCell ref="N15:N20"/>
    <mergeCell ref="A21:N21"/>
    <mergeCell ref="A25:N25"/>
    <mergeCell ref="A33:N33"/>
    <mergeCell ref="N34:N38"/>
    <mergeCell ref="A1:N1"/>
    <mergeCell ref="A2:N2"/>
    <mergeCell ref="A3:N3"/>
    <mergeCell ref="A4:A5"/>
    <mergeCell ref="B4:B5"/>
    <mergeCell ref="D4:D5"/>
    <mergeCell ref="F4:J4"/>
    <mergeCell ref="K4:M4"/>
    <mergeCell ref="N4:N5"/>
  </mergeCells>
  <printOptions/>
  <pageMargins left="0.24027777777777778" right="0.24027777777777778" top="0.7201388888888889" bottom="0.6798611111111111" header="0.5118055555555555" footer="0.5118055555555555"/>
  <pageSetup horizontalDpi="300" verticalDpi="300" orientation="landscape" paperSize="9"/>
</worksheet>
</file>

<file path=xl/worksheets/sheet3.xml><?xml version="1.0" encoding="utf-8"?>
<worksheet xmlns="http://schemas.openxmlformats.org/spreadsheetml/2006/main" xmlns:r="http://schemas.openxmlformats.org/officeDocument/2006/relationships">
  <sheetPr>
    <tabColor indexed="10"/>
  </sheetPr>
  <dimension ref="A1:R103"/>
  <sheetViews>
    <sheetView zoomScale="70" zoomScaleNormal="70" zoomScaleSheetLayoutView="70" zoomScalePageLayoutView="0" workbookViewId="0" topLeftCell="A1">
      <pane ySplit="5" topLeftCell="A6" activePane="bottomLeft" state="frozen"/>
      <selection pane="topLeft" activeCell="A1" sqref="A1"/>
      <selection pane="bottomLeft" activeCell="A1" sqref="A1:N1"/>
    </sheetView>
  </sheetViews>
  <sheetFormatPr defaultColWidth="9.00390625" defaultRowHeight="12.75"/>
  <cols>
    <col min="1" max="1" width="5.125" style="15" customWidth="1"/>
    <col min="2" max="2" width="37.25390625" style="2" customWidth="1"/>
    <col min="3" max="3" width="10.25390625" style="16" customWidth="1"/>
    <col min="4" max="5" width="0" style="17" hidden="1" customWidth="1"/>
    <col min="6" max="6" width="0" style="18" hidden="1" customWidth="1"/>
    <col min="7" max="9" width="8.625" style="18" customWidth="1"/>
    <col min="10" max="13" width="8.625" style="66" customWidth="1"/>
    <col min="14" max="14" width="35.125" style="67" customWidth="1"/>
    <col min="15" max="17" width="0" style="17" hidden="1" customWidth="1"/>
    <col min="18" max="18" width="37.25390625" style="68" customWidth="1"/>
    <col min="19" max="16384" width="9.125" style="17" customWidth="1"/>
  </cols>
  <sheetData>
    <row r="1" spans="1:18" s="20" customFormat="1" ht="17.25" customHeight="1">
      <c r="A1" s="115" t="s">
        <v>9</v>
      </c>
      <c r="B1" s="115"/>
      <c r="C1" s="115"/>
      <c r="D1" s="115"/>
      <c r="E1" s="115"/>
      <c r="F1" s="115"/>
      <c r="G1" s="115"/>
      <c r="H1" s="115"/>
      <c r="I1" s="115"/>
      <c r="J1" s="115"/>
      <c r="K1" s="115"/>
      <c r="L1" s="115"/>
      <c r="M1" s="115"/>
      <c r="N1" s="115"/>
      <c r="R1" s="68"/>
    </row>
    <row r="2" spans="1:18" s="20" customFormat="1" ht="17.25" customHeight="1">
      <c r="A2" s="116" t="s">
        <v>2</v>
      </c>
      <c r="B2" s="116"/>
      <c r="C2" s="116"/>
      <c r="D2" s="116"/>
      <c r="E2" s="116"/>
      <c r="F2" s="116"/>
      <c r="G2" s="116"/>
      <c r="H2" s="116"/>
      <c r="I2" s="116"/>
      <c r="J2" s="116"/>
      <c r="K2" s="116"/>
      <c r="L2" s="116"/>
      <c r="M2" s="116"/>
      <c r="N2" s="116"/>
      <c r="P2" s="129" t="s">
        <v>148</v>
      </c>
      <c r="Q2" s="129"/>
      <c r="R2" s="68"/>
    </row>
    <row r="3" spans="1:17" ht="18" customHeight="1">
      <c r="A3" s="117" t="s">
        <v>10</v>
      </c>
      <c r="B3" s="117"/>
      <c r="C3" s="117"/>
      <c r="D3" s="117"/>
      <c r="E3" s="117"/>
      <c r="F3" s="117"/>
      <c r="G3" s="117"/>
      <c r="H3" s="117"/>
      <c r="I3" s="117"/>
      <c r="J3" s="117"/>
      <c r="K3" s="117"/>
      <c r="L3" s="117"/>
      <c r="M3" s="117"/>
      <c r="N3" s="117"/>
      <c r="P3" s="129"/>
      <c r="Q3" s="129"/>
    </row>
    <row r="4" spans="1:18" s="24" customFormat="1" ht="21" customHeight="1">
      <c r="A4" s="118" t="s">
        <v>11</v>
      </c>
      <c r="B4" s="119" t="s">
        <v>12</v>
      </c>
      <c r="C4" s="21" t="s">
        <v>13</v>
      </c>
      <c r="D4" s="120">
        <v>2011</v>
      </c>
      <c r="E4" s="23"/>
      <c r="F4" s="120" t="s">
        <v>14</v>
      </c>
      <c r="G4" s="120"/>
      <c r="H4" s="120"/>
      <c r="I4" s="120"/>
      <c r="J4" s="120"/>
      <c r="K4" s="120" t="s">
        <v>15</v>
      </c>
      <c r="L4" s="120"/>
      <c r="M4" s="120"/>
      <c r="N4" s="121" t="s">
        <v>16</v>
      </c>
      <c r="P4" s="129"/>
      <c r="Q4" s="129"/>
      <c r="R4" s="68"/>
    </row>
    <row r="5" spans="1:18" s="24" customFormat="1" ht="21" customHeight="1">
      <c r="A5" s="118"/>
      <c r="B5" s="119"/>
      <c r="C5" s="21"/>
      <c r="D5" s="120"/>
      <c r="E5" s="22">
        <v>2012</v>
      </c>
      <c r="F5" s="25">
        <v>2013</v>
      </c>
      <c r="G5" s="25">
        <v>2014</v>
      </c>
      <c r="H5" s="25">
        <v>2015</v>
      </c>
      <c r="I5" s="25">
        <v>2016</v>
      </c>
      <c r="J5" s="25">
        <v>2017</v>
      </c>
      <c r="K5" s="22">
        <v>2018</v>
      </c>
      <c r="L5" s="22">
        <v>2019</v>
      </c>
      <c r="M5" s="22">
        <v>2020</v>
      </c>
      <c r="N5" s="121"/>
      <c r="P5" s="129"/>
      <c r="Q5" s="129"/>
      <c r="R5" s="68"/>
    </row>
    <row r="6" spans="1:17" ht="30" customHeight="1">
      <c r="A6" s="122" t="s">
        <v>17</v>
      </c>
      <c r="B6" s="122"/>
      <c r="C6" s="122"/>
      <c r="D6" s="122"/>
      <c r="E6" s="122"/>
      <c r="F6" s="122"/>
      <c r="G6" s="122"/>
      <c r="H6" s="122"/>
      <c r="I6" s="122"/>
      <c r="J6" s="122"/>
      <c r="K6" s="122"/>
      <c r="L6" s="122"/>
      <c r="M6" s="122"/>
      <c r="N6" s="122"/>
      <c r="P6" s="69"/>
      <c r="Q6" s="69"/>
    </row>
    <row r="7" spans="1:17" ht="180" customHeight="1">
      <c r="A7" s="26">
        <v>1</v>
      </c>
      <c r="B7" s="27" t="s">
        <v>18</v>
      </c>
      <c r="C7" s="28" t="s">
        <v>19</v>
      </c>
      <c r="D7" s="29">
        <f>(57+797+5746+10069)/D86*10</f>
        <v>524.0176045268784</v>
      </c>
      <c r="E7" s="29">
        <f>(45+815+4296+10231)/E86*10</f>
        <v>482.90060476341415</v>
      </c>
      <c r="F7" s="30">
        <f>(14267)/F86*10</f>
        <v>449.20436011914137</v>
      </c>
      <c r="G7" s="30">
        <f>(50+743+4557+8824)/G86*10</f>
        <v>445.28498678973216</v>
      </c>
      <c r="H7" s="30">
        <f>(14800)/H86*10</f>
        <v>463.077399632667</v>
      </c>
      <c r="I7" s="30">
        <f>(14070)/I86*10</f>
        <v>440.86958156557273</v>
      </c>
      <c r="J7" s="30">
        <f>(14488)/J86*10</f>
        <v>457.07723589419203</v>
      </c>
      <c r="K7" s="30">
        <f>(14550)/K86*10</f>
        <v>461.90256236875064</v>
      </c>
      <c r="L7" s="30">
        <f>(14570)/L86*10</f>
        <v>463.41502202573116</v>
      </c>
      <c r="M7" s="30">
        <f>(14600)/M86*10</f>
        <v>465.2059412534113</v>
      </c>
      <c r="N7" s="31" t="s">
        <v>20</v>
      </c>
      <c r="P7" s="69"/>
      <c r="Q7" s="69"/>
    </row>
    <row r="8" spans="1:14" ht="132.75" customHeight="1">
      <c r="A8" s="26">
        <v>2</v>
      </c>
      <c r="B8" s="27" t="s">
        <v>21</v>
      </c>
      <c r="C8" s="28" t="s">
        <v>22</v>
      </c>
      <c r="D8" s="29">
        <f aca="true" t="shared" si="0" ref="D8:I8">(D11+D10)/D9*100</f>
        <v>27.818485874245642</v>
      </c>
      <c r="E8" s="29">
        <f t="shared" si="0"/>
        <v>27.790239808927474</v>
      </c>
      <c r="F8" s="30">
        <f t="shared" si="0"/>
        <v>27.67709781539387</v>
      </c>
      <c r="G8" s="30">
        <f t="shared" si="0"/>
        <v>26.324970790601064</v>
      </c>
      <c r="H8" s="30">
        <f t="shared" si="0"/>
        <v>25.66775406117008</v>
      </c>
      <c r="I8" s="30">
        <f t="shared" si="0"/>
        <v>26.767335350087034</v>
      </c>
      <c r="J8" s="30">
        <v>27.5</v>
      </c>
      <c r="K8" s="30">
        <v>27.7</v>
      </c>
      <c r="L8" s="30">
        <v>27.8</v>
      </c>
      <c r="M8" s="30">
        <v>27.9</v>
      </c>
      <c r="N8" s="32" t="s">
        <v>23</v>
      </c>
    </row>
    <row r="9" spans="1:14" ht="15.75" customHeight="1" hidden="1">
      <c r="A9" s="26"/>
      <c r="B9" s="70" t="s">
        <v>149</v>
      </c>
      <c r="C9" s="71"/>
      <c r="D9" s="72">
        <v>123781</v>
      </c>
      <c r="E9" s="73">
        <v>123932</v>
      </c>
      <c r="F9" s="73">
        <v>122997</v>
      </c>
      <c r="G9" s="73">
        <v>123248</v>
      </c>
      <c r="H9" s="73">
        <v>120778</v>
      </c>
      <c r="I9" s="73">
        <v>118342</v>
      </c>
      <c r="J9" s="74">
        <v>117419</v>
      </c>
      <c r="K9" s="74">
        <v>117070</v>
      </c>
      <c r="L9" s="74">
        <v>117000</v>
      </c>
      <c r="M9" s="74">
        <v>117000</v>
      </c>
      <c r="N9" s="75"/>
    </row>
    <row r="10" spans="1:14" ht="15.75" customHeight="1" hidden="1">
      <c r="A10" s="26"/>
      <c r="B10" s="70" t="s">
        <v>150</v>
      </c>
      <c r="C10" s="71"/>
      <c r="D10" s="72">
        <v>27858</v>
      </c>
      <c r="E10" s="72">
        <v>30045</v>
      </c>
      <c r="F10" s="72">
        <v>29910</v>
      </c>
      <c r="G10" s="73">
        <f>G9-94650</f>
        <v>28598</v>
      </c>
      <c r="H10" s="73">
        <v>27097</v>
      </c>
      <c r="I10" s="73">
        <v>27179</v>
      </c>
      <c r="J10" s="74">
        <v>26899</v>
      </c>
      <c r="K10" s="74">
        <v>27000</v>
      </c>
      <c r="L10" s="74">
        <v>27100</v>
      </c>
      <c r="M10" s="74">
        <v>27100</v>
      </c>
      <c r="N10" s="75"/>
    </row>
    <row r="11" spans="1:14" ht="15.75" customHeight="1" hidden="1">
      <c r="A11" s="26"/>
      <c r="B11" s="70" t="s">
        <v>151</v>
      </c>
      <c r="C11" s="71"/>
      <c r="D11" s="72">
        <v>6576</v>
      </c>
      <c r="E11" s="72">
        <v>4396</v>
      </c>
      <c r="F11" s="72">
        <v>4132</v>
      </c>
      <c r="G11" s="72">
        <v>3847</v>
      </c>
      <c r="H11" s="72">
        <v>3904</v>
      </c>
      <c r="I11" s="72">
        <v>4498</v>
      </c>
      <c r="J11" s="76">
        <v>4000</v>
      </c>
      <c r="K11" s="76">
        <v>4000</v>
      </c>
      <c r="L11" s="76">
        <v>4000</v>
      </c>
      <c r="M11" s="76">
        <v>4000</v>
      </c>
      <c r="N11" s="75"/>
    </row>
    <row r="12" spans="1:14" ht="66.75" customHeight="1">
      <c r="A12" s="26">
        <v>3</v>
      </c>
      <c r="B12" s="27" t="s">
        <v>24</v>
      </c>
      <c r="C12" s="28" t="s">
        <v>25</v>
      </c>
      <c r="D12" s="29">
        <v>28143.3</v>
      </c>
      <c r="E12" s="29">
        <v>31398.6</v>
      </c>
      <c r="F12" s="30">
        <v>29628.3</v>
      </c>
      <c r="G12" s="30">
        <v>29612.1</v>
      </c>
      <c r="H12" s="30">
        <f>(16019501-2926013)/H86</f>
        <v>40968.23226460493</v>
      </c>
      <c r="I12" s="30">
        <v>23670</v>
      </c>
      <c r="J12" s="30">
        <v>25972.1</v>
      </c>
      <c r="K12" s="33">
        <f>(9068333-1225448)/K86</f>
        <v>24897.92905748068</v>
      </c>
      <c r="L12" s="33">
        <f>(10584009-3296378)/L86</f>
        <v>23179.119288815382</v>
      </c>
      <c r="M12" s="33">
        <f>(9940319-2502039)/M86</f>
        <v>23700.904443194686</v>
      </c>
      <c r="N12" s="32" t="s">
        <v>26</v>
      </c>
    </row>
    <row r="13" spans="1:14" ht="123" customHeight="1">
      <c r="A13" s="26">
        <v>4</v>
      </c>
      <c r="B13" s="27" t="s">
        <v>27</v>
      </c>
      <c r="C13" s="28" t="s">
        <v>22</v>
      </c>
      <c r="D13" s="29">
        <f>(8060)/12121*100</f>
        <v>66.49616368286445</v>
      </c>
      <c r="E13" s="29">
        <f>(8328)/12121*100</f>
        <v>68.70720237604158</v>
      </c>
      <c r="F13" s="30">
        <f>(8643)/12121*100</f>
        <v>71.30599785496247</v>
      </c>
      <c r="G13" s="30">
        <f>8854.1/12121*100</f>
        <v>73.04760333305833</v>
      </c>
      <c r="H13" s="30">
        <f>9370.29/12121*100</f>
        <v>77.3062453592938</v>
      </c>
      <c r="I13" s="30">
        <f>9483.36/12121*100</f>
        <v>78.23908918406073</v>
      </c>
      <c r="J13" s="30">
        <f>9484.5608/12121*100</f>
        <v>78.24899595742924</v>
      </c>
      <c r="K13" s="30">
        <v>78.5</v>
      </c>
      <c r="L13" s="30">
        <v>78.7</v>
      </c>
      <c r="M13" s="30">
        <v>79</v>
      </c>
      <c r="N13" s="32" t="s">
        <v>28</v>
      </c>
    </row>
    <row r="14" spans="1:14" ht="57" customHeight="1">
      <c r="A14" s="26">
        <v>5</v>
      </c>
      <c r="B14" s="27" t="s">
        <v>29</v>
      </c>
      <c r="C14" s="28" t="s">
        <v>30</v>
      </c>
      <c r="D14" s="34">
        <v>0</v>
      </c>
      <c r="E14" s="34">
        <v>0</v>
      </c>
      <c r="F14" s="35">
        <v>0</v>
      </c>
      <c r="G14" s="35">
        <v>0</v>
      </c>
      <c r="H14" s="35">
        <v>0</v>
      </c>
      <c r="I14" s="35">
        <v>0</v>
      </c>
      <c r="J14" s="35">
        <v>0</v>
      </c>
      <c r="K14" s="35">
        <v>0</v>
      </c>
      <c r="L14" s="35">
        <v>0</v>
      </c>
      <c r="M14" s="35">
        <v>0</v>
      </c>
      <c r="N14" s="32" t="s">
        <v>31</v>
      </c>
    </row>
    <row r="15" spans="1:14" ht="147" customHeight="1">
      <c r="A15" s="26">
        <v>6</v>
      </c>
      <c r="B15" s="27" t="s">
        <v>32</v>
      </c>
      <c r="C15" s="28" t="s">
        <v>33</v>
      </c>
      <c r="D15" s="34">
        <v>87.2</v>
      </c>
      <c r="E15" s="34">
        <v>83.7</v>
      </c>
      <c r="F15" s="35">
        <v>73.2</v>
      </c>
      <c r="G15" s="30">
        <f>(458-301)/458*100</f>
        <v>34.27947598253275</v>
      </c>
      <c r="H15" s="30">
        <f>(458-301)/458*100</f>
        <v>34.27947598253275</v>
      </c>
      <c r="I15" s="30">
        <f>100-303.9/460.5*100</f>
        <v>34.00651465798046</v>
      </c>
      <c r="J15" s="30">
        <f>100-303.9/460.5*100</f>
        <v>34.00651465798046</v>
      </c>
      <c r="K15" s="30">
        <f>100-(303.9+0.8)/(460.5+0.8)*100</f>
        <v>33.94753956210708</v>
      </c>
      <c r="L15" s="30">
        <f>100-(303.9+0.8)/(460.5+0.8)*100</f>
        <v>33.94753956210708</v>
      </c>
      <c r="M15" s="30">
        <f>100-(303.9+0.8)/(460.5+0.8)*100</f>
        <v>33.94753956210708</v>
      </c>
      <c r="N15" s="32" t="s">
        <v>34</v>
      </c>
    </row>
    <row r="16" spans="1:14" ht="147.75" customHeight="1">
      <c r="A16" s="26">
        <v>7</v>
      </c>
      <c r="B16" s="27" t="s">
        <v>35</v>
      </c>
      <c r="C16" s="28" t="s">
        <v>33</v>
      </c>
      <c r="D16" s="34">
        <v>0</v>
      </c>
      <c r="E16" s="34">
        <v>0</v>
      </c>
      <c r="F16" s="35">
        <v>0</v>
      </c>
      <c r="G16" s="33">
        <v>0</v>
      </c>
      <c r="H16" s="35">
        <v>0</v>
      </c>
      <c r="I16" s="35">
        <v>0</v>
      </c>
      <c r="J16" s="35">
        <v>0</v>
      </c>
      <c r="K16" s="35">
        <v>0</v>
      </c>
      <c r="L16" s="35"/>
      <c r="M16" s="35"/>
      <c r="N16" s="36"/>
    </row>
    <row r="17" spans="1:14" ht="56.25" customHeight="1">
      <c r="A17" s="26">
        <v>8</v>
      </c>
      <c r="B17" s="27" t="s">
        <v>36</v>
      </c>
      <c r="C17" s="28"/>
      <c r="D17" s="37"/>
      <c r="E17" s="37"/>
      <c r="F17" s="38"/>
      <c r="G17" s="38"/>
      <c r="H17" s="38"/>
      <c r="I17" s="38"/>
      <c r="J17" s="38"/>
      <c r="K17" s="38"/>
      <c r="L17" s="38"/>
      <c r="M17" s="38"/>
      <c r="N17" s="39"/>
    </row>
    <row r="18" spans="1:14" ht="39" customHeight="1">
      <c r="A18" s="40"/>
      <c r="B18" s="27" t="s">
        <v>37</v>
      </c>
      <c r="C18" s="28" t="s">
        <v>25</v>
      </c>
      <c r="D18" s="29">
        <v>18245.1</v>
      </c>
      <c r="E18" s="29">
        <v>21435.3</v>
      </c>
      <c r="F18" s="30">
        <v>24151.5</v>
      </c>
      <c r="G18" s="30">
        <v>25916.9</v>
      </c>
      <c r="H18" s="30">
        <v>26727.2</v>
      </c>
      <c r="I18" s="30">
        <v>27960.4</v>
      </c>
      <c r="J18" s="30">
        <v>29580.1</v>
      </c>
      <c r="K18" s="33">
        <v>29643</v>
      </c>
      <c r="L18" s="33">
        <v>30831</v>
      </c>
      <c r="M18" s="33">
        <v>32005</v>
      </c>
      <c r="N18" s="123" t="s">
        <v>38</v>
      </c>
    </row>
    <row r="19" spans="1:14" ht="39" customHeight="1">
      <c r="A19" s="40"/>
      <c r="B19" s="27" t="s">
        <v>39</v>
      </c>
      <c r="C19" s="28" t="s">
        <v>25</v>
      </c>
      <c r="D19" s="29">
        <v>8672.3</v>
      </c>
      <c r="E19" s="29">
        <v>9733.3</v>
      </c>
      <c r="F19" s="30">
        <v>13541.5</v>
      </c>
      <c r="G19" s="30">
        <v>14209.2</v>
      </c>
      <c r="H19" s="30">
        <v>14555.3</v>
      </c>
      <c r="I19" s="30">
        <v>15646.1</v>
      </c>
      <c r="J19" s="30">
        <v>17641.6</v>
      </c>
      <c r="K19" s="33">
        <v>20081</v>
      </c>
      <c r="L19" s="33">
        <v>21755</v>
      </c>
      <c r="M19" s="33">
        <v>22000</v>
      </c>
      <c r="N19" s="123"/>
    </row>
    <row r="20" spans="1:14" ht="35.25" customHeight="1">
      <c r="A20" s="40"/>
      <c r="B20" s="27" t="s">
        <v>40</v>
      </c>
      <c r="C20" s="28" t="s">
        <v>25</v>
      </c>
      <c r="D20" s="29">
        <v>12690.5</v>
      </c>
      <c r="E20" s="29">
        <v>14994.2</v>
      </c>
      <c r="F20" s="30">
        <v>18790.7</v>
      </c>
      <c r="G20" s="30">
        <v>19677.7</v>
      </c>
      <c r="H20" s="30">
        <v>19412.5</v>
      </c>
      <c r="I20" s="30">
        <v>20181.9</v>
      </c>
      <c r="J20" s="30">
        <v>21328</v>
      </c>
      <c r="K20" s="33">
        <v>24300</v>
      </c>
      <c r="L20" s="33">
        <v>25974</v>
      </c>
      <c r="M20" s="33">
        <v>26000</v>
      </c>
      <c r="N20" s="123"/>
    </row>
    <row r="21" spans="1:14" ht="39" customHeight="1">
      <c r="A21" s="40"/>
      <c r="B21" s="27" t="s">
        <v>41</v>
      </c>
      <c r="C21" s="28" t="s">
        <v>25</v>
      </c>
      <c r="D21" s="29">
        <v>12990.64</v>
      </c>
      <c r="E21" s="29">
        <v>16329.5</v>
      </c>
      <c r="F21" s="30">
        <v>21046.5</v>
      </c>
      <c r="G21" s="30">
        <v>22168.59</v>
      </c>
      <c r="H21" s="33">
        <v>21986.97</v>
      </c>
      <c r="I21" s="30">
        <v>21989.9</v>
      </c>
      <c r="J21" s="30">
        <v>23319.35</v>
      </c>
      <c r="K21" s="33">
        <v>25114.36</v>
      </c>
      <c r="L21" s="33">
        <v>26445.42</v>
      </c>
      <c r="M21" s="33">
        <v>27926.36</v>
      </c>
      <c r="N21" s="123"/>
    </row>
    <row r="22" spans="1:14" ht="39" customHeight="1">
      <c r="A22" s="40"/>
      <c r="B22" s="41" t="s">
        <v>42</v>
      </c>
      <c r="C22" s="28" t="s">
        <v>25</v>
      </c>
      <c r="D22" s="29">
        <v>8716</v>
      </c>
      <c r="E22" s="29">
        <v>11186.6</v>
      </c>
      <c r="F22" s="30">
        <v>15684.5</v>
      </c>
      <c r="G22" s="30">
        <v>19237</v>
      </c>
      <c r="H22" s="30">
        <v>20514.8</v>
      </c>
      <c r="I22" s="30">
        <v>21681.1</v>
      </c>
      <c r="J22" s="30">
        <v>24616</v>
      </c>
      <c r="K22" s="33">
        <v>25170</v>
      </c>
      <c r="L22" s="33">
        <v>25600</v>
      </c>
      <c r="M22" s="33">
        <v>25800</v>
      </c>
      <c r="N22" s="123"/>
    </row>
    <row r="23" spans="1:14" ht="42.75" customHeight="1">
      <c r="A23" s="40"/>
      <c r="B23" s="27" t="s">
        <v>43</v>
      </c>
      <c r="C23" s="28" t="s">
        <v>25</v>
      </c>
      <c r="D23" s="29">
        <v>9086.8</v>
      </c>
      <c r="E23" s="29">
        <v>12909</v>
      </c>
      <c r="F23" s="30">
        <v>17111.6</v>
      </c>
      <c r="G23" s="30">
        <v>18344</v>
      </c>
      <c r="H23" s="30">
        <v>18402.1</v>
      </c>
      <c r="I23" s="30">
        <v>19391.7</v>
      </c>
      <c r="J23" s="30">
        <v>17856.1</v>
      </c>
      <c r="K23" s="33">
        <f>J23*1.04</f>
        <v>18570.343999999997</v>
      </c>
      <c r="L23" s="33">
        <f>K23*1.04</f>
        <v>19313.15776</v>
      </c>
      <c r="M23" s="33">
        <f>L23*1.04</f>
        <v>20085.6840704</v>
      </c>
      <c r="N23" s="123"/>
    </row>
    <row r="24" spans="1:14" ht="31.5" customHeight="1">
      <c r="A24" s="124" t="s">
        <v>44</v>
      </c>
      <c r="B24" s="124"/>
      <c r="C24" s="124"/>
      <c r="D24" s="124"/>
      <c r="E24" s="124"/>
      <c r="F24" s="124"/>
      <c r="G24" s="124"/>
      <c r="H24" s="124"/>
      <c r="I24" s="124"/>
      <c r="J24" s="124"/>
      <c r="K24" s="124"/>
      <c r="L24" s="124"/>
      <c r="M24" s="124"/>
      <c r="N24" s="124"/>
    </row>
    <row r="25" spans="1:14" ht="121.5" customHeight="1">
      <c r="A25" s="26">
        <v>9</v>
      </c>
      <c r="B25" s="27" t="s">
        <v>45</v>
      </c>
      <c r="C25" s="28" t="s">
        <v>33</v>
      </c>
      <c r="D25" s="29">
        <v>82</v>
      </c>
      <c r="E25" s="29">
        <v>86.5</v>
      </c>
      <c r="F25" s="30">
        <v>90.3</v>
      </c>
      <c r="G25" s="30">
        <v>92.1</v>
      </c>
      <c r="H25" s="30">
        <v>92</v>
      </c>
      <c r="I25" s="30">
        <f>I26/I27*100</f>
        <v>97.85610869807329</v>
      </c>
      <c r="J25" s="30">
        <v>98.3</v>
      </c>
      <c r="K25" s="30">
        <v>98.3</v>
      </c>
      <c r="L25" s="30">
        <v>98.3</v>
      </c>
      <c r="M25" s="30">
        <v>99</v>
      </c>
      <c r="N25" s="32" t="s">
        <v>46</v>
      </c>
    </row>
    <row r="26" spans="1:14" ht="18.75" customHeight="1" hidden="1">
      <c r="A26" s="26"/>
      <c r="B26" s="70" t="s">
        <v>152</v>
      </c>
      <c r="C26" s="28"/>
      <c r="D26" s="29"/>
      <c r="E26" s="29">
        <v>14693</v>
      </c>
      <c r="F26" s="77">
        <v>15407</v>
      </c>
      <c r="G26" s="77">
        <v>16098</v>
      </c>
      <c r="H26" s="77">
        <v>16676</v>
      </c>
      <c r="I26" s="77">
        <v>17573</v>
      </c>
      <c r="J26" s="78">
        <v>17586</v>
      </c>
      <c r="K26" s="78">
        <v>17586</v>
      </c>
      <c r="L26" s="78">
        <v>17586</v>
      </c>
      <c r="M26" s="78">
        <f>17586+230</f>
        <v>17816</v>
      </c>
      <c r="N26" s="75"/>
    </row>
    <row r="27" spans="1:18" s="81" customFormat="1" ht="22.5" customHeight="1" hidden="1">
      <c r="A27" s="79"/>
      <c r="B27" s="70" t="s">
        <v>153</v>
      </c>
      <c r="C27" s="71"/>
      <c r="D27" s="80"/>
      <c r="E27" s="80">
        <v>16986</v>
      </c>
      <c r="F27" s="77">
        <v>17318</v>
      </c>
      <c r="G27" s="77">
        <v>17480</v>
      </c>
      <c r="H27" s="77">
        <v>17635</v>
      </c>
      <c r="I27" s="77">
        <v>17958</v>
      </c>
      <c r="J27" s="78">
        <v>18171</v>
      </c>
      <c r="K27" s="78">
        <v>18070</v>
      </c>
      <c r="L27" s="78">
        <v>18207</v>
      </c>
      <c r="M27" s="78">
        <v>18183</v>
      </c>
      <c r="N27" s="75"/>
      <c r="R27" s="82"/>
    </row>
    <row r="28" spans="1:14" ht="99" customHeight="1">
      <c r="A28" s="26">
        <v>10</v>
      </c>
      <c r="B28" s="27" t="s">
        <v>47</v>
      </c>
      <c r="C28" s="28" t="s">
        <v>33</v>
      </c>
      <c r="D28" s="42">
        <f>6535/16769*100</f>
        <v>38.97071978054744</v>
      </c>
      <c r="E28" s="42">
        <f>5846/17195*100</f>
        <v>33.99825530677523</v>
      </c>
      <c r="F28" s="33">
        <v>33</v>
      </c>
      <c r="G28" s="33">
        <v>35</v>
      </c>
      <c r="H28" s="33">
        <f>H29/H30*100</f>
        <v>30.33739722143465</v>
      </c>
      <c r="I28" s="30">
        <f>I29/I30*100</f>
        <v>33.21082525893752</v>
      </c>
      <c r="J28" s="30">
        <f>J29/J30*100</f>
        <v>33.773595289197075</v>
      </c>
      <c r="K28" s="33">
        <v>32</v>
      </c>
      <c r="L28" s="33">
        <v>31</v>
      </c>
      <c r="M28" s="33">
        <v>30</v>
      </c>
      <c r="N28" s="31" t="s">
        <v>48</v>
      </c>
    </row>
    <row r="29" spans="1:14" ht="17.25" customHeight="1" hidden="1">
      <c r="A29" s="26"/>
      <c r="B29" s="70" t="s">
        <v>154</v>
      </c>
      <c r="C29" s="28"/>
      <c r="D29" s="29"/>
      <c r="E29" s="29">
        <v>7509</v>
      </c>
      <c r="F29" s="33">
        <v>7409</v>
      </c>
      <c r="G29" s="33">
        <v>6070</v>
      </c>
      <c r="H29" s="33">
        <v>5350</v>
      </c>
      <c r="I29" s="33">
        <v>5964</v>
      </c>
      <c r="J29" s="83">
        <v>6137</v>
      </c>
      <c r="K29" s="83">
        <v>4470</v>
      </c>
      <c r="L29" s="83">
        <v>4500</v>
      </c>
      <c r="M29" s="83">
        <v>4500</v>
      </c>
      <c r="N29" s="75"/>
    </row>
    <row r="30" spans="1:14" ht="15.75" hidden="1">
      <c r="A30" s="26"/>
      <c r="B30" s="70" t="s">
        <v>153</v>
      </c>
      <c r="C30" s="71"/>
      <c r="D30" s="80"/>
      <c r="E30" s="80">
        <v>16986</v>
      </c>
      <c r="F30" s="77">
        <v>17318</v>
      </c>
      <c r="G30" s="77">
        <v>17480</v>
      </c>
      <c r="H30" s="77">
        <v>17635</v>
      </c>
      <c r="I30" s="77">
        <v>17958</v>
      </c>
      <c r="J30" s="78">
        <v>18171</v>
      </c>
      <c r="K30" s="78">
        <v>18070</v>
      </c>
      <c r="L30" s="78">
        <v>18207</v>
      </c>
      <c r="M30" s="78">
        <v>18183</v>
      </c>
      <c r="N30" s="75"/>
    </row>
    <row r="31" spans="1:14" ht="117" customHeight="1">
      <c r="A31" s="26">
        <v>11</v>
      </c>
      <c r="B31" s="27" t="s">
        <v>49</v>
      </c>
      <c r="C31" s="28" t="s">
        <v>33</v>
      </c>
      <c r="D31" s="29">
        <f>10/74*100</f>
        <v>13.513513513513514</v>
      </c>
      <c r="E31" s="29">
        <f>1/76*100</f>
        <v>1.3157894736842104</v>
      </c>
      <c r="F31" s="35">
        <v>0</v>
      </c>
      <c r="G31" s="35">
        <v>0</v>
      </c>
      <c r="H31" s="35">
        <v>0</v>
      </c>
      <c r="I31" s="35">
        <v>0</v>
      </c>
      <c r="J31" s="35">
        <v>1.23</v>
      </c>
      <c r="K31" s="35">
        <v>1.23</v>
      </c>
      <c r="L31" s="35">
        <v>0</v>
      </c>
      <c r="M31" s="35">
        <v>0</v>
      </c>
      <c r="N31" s="32" t="s">
        <v>50</v>
      </c>
    </row>
    <row r="32" spans="1:14" ht="30.75" customHeight="1">
      <c r="A32" s="124" t="s">
        <v>51</v>
      </c>
      <c r="B32" s="124"/>
      <c r="C32" s="124"/>
      <c r="D32" s="124"/>
      <c r="E32" s="124"/>
      <c r="F32" s="124"/>
      <c r="G32" s="124"/>
      <c r="H32" s="124"/>
      <c r="I32" s="124"/>
      <c r="J32" s="124"/>
      <c r="K32" s="124"/>
      <c r="L32" s="124"/>
      <c r="M32" s="124"/>
      <c r="N32" s="124"/>
    </row>
    <row r="33" spans="1:14" ht="120" customHeight="1">
      <c r="A33" s="26">
        <v>13</v>
      </c>
      <c r="B33" s="27" t="s">
        <v>52</v>
      </c>
      <c r="C33" s="28" t="s">
        <v>33</v>
      </c>
      <c r="D33" s="29">
        <v>1</v>
      </c>
      <c r="E33" s="34">
        <v>0.52</v>
      </c>
      <c r="F33" s="35">
        <v>0.58</v>
      </c>
      <c r="G33" s="35">
        <v>0.6</v>
      </c>
      <c r="H33" s="35">
        <v>0.6</v>
      </c>
      <c r="I33" s="30">
        <v>0.64</v>
      </c>
      <c r="J33" s="30">
        <f>7/1355*100</f>
        <v>0.5166051660516605</v>
      </c>
      <c r="K33" s="35">
        <v>0.5</v>
      </c>
      <c r="L33" s="35">
        <v>0.5</v>
      </c>
      <c r="M33" s="35">
        <v>0.45</v>
      </c>
      <c r="N33" s="32" t="s">
        <v>53</v>
      </c>
    </row>
    <row r="34" spans="1:14" ht="114" customHeight="1">
      <c r="A34" s="26">
        <v>14</v>
      </c>
      <c r="B34" s="27" t="s">
        <v>54</v>
      </c>
      <c r="C34" s="28" t="s">
        <v>33</v>
      </c>
      <c r="D34" s="34">
        <v>74.2</v>
      </c>
      <c r="E34" s="34">
        <v>73.5</v>
      </c>
      <c r="F34" s="35">
        <v>76.2</v>
      </c>
      <c r="G34" s="30">
        <v>80.64</v>
      </c>
      <c r="H34" s="35">
        <v>83.95</v>
      </c>
      <c r="I34" s="35">
        <v>85.6</v>
      </c>
      <c r="J34" s="30">
        <v>86</v>
      </c>
      <c r="K34" s="35">
        <v>86.5</v>
      </c>
      <c r="L34" s="35">
        <v>87</v>
      </c>
      <c r="M34" s="35">
        <v>87.5</v>
      </c>
      <c r="N34" s="32"/>
    </row>
    <row r="35" spans="1:14" ht="129" customHeight="1">
      <c r="A35" s="26">
        <v>15</v>
      </c>
      <c r="B35" s="27" t="s">
        <v>55</v>
      </c>
      <c r="C35" s="28" t="s">
        <v>33</v>
      </c>
      <c r="D35" s="34">
        <v>2.3</v>
      </c>
      <c r="E35" s="34">
        <v>2.3</v>
      </c>
      <c r="F35" s="35">
        <v>7</v>
      </c>
      <c r="G35" s="35">
        <v>2.4</v>
      </c>
      <c r="H35" s="35">
        <v>2</v>
      </c>
      <c r="I35" s="35">
        <v>0</v>
      </c>
      <c r="J35" s="35">
        <v>0</v>
      </c>
      <c r="K35" s="35">
        <v>0</v>
      </c>
      <c r="L35" s="35">
        <v>0</v>
      </c>
      <c r="M35" s="35">
        <v>0</v>
      </c>
      <c r="N35" s="32"/>
    </row>
    <row r="36" spans="1:14" ht="92.25" customHeight="1">
      <c r="A36" s="26">
        <v>16</v>
      </c>
      <c r="B36" s="27" t="s">
        <v>56</v>
      </c>
      <c r="C36" s="28" t="s">
        <v>22</v>
      </c>
      <c r="D36" s="34">
        <v>83.2</v>
      </c>
      <c r="E36" s="34">
        <v>83.2</v>
      </c>
      <c r="F36" s="35">
        <v>83.8</v>
      </c>
      <c r="G36" s="35">
        <v>84.1</v>
      </c>
      <c r="H36" s="35">
        <v>83.6</v>
      </c>
      <c r="I36" s="35">
        <v>83.3</v>
      </c>
      <c r="J36" s="35">
        <v>87.4</v>
      </c>
      <c r="K36" s="35">
        <v>88</v>
      </c>
      <c r="L36" s="35">
        <v>90</v>
      </c>
      <c r="M36" s="35">
        <v>90</v>
      </c>
      <c r="N36" s="32" t="s">
        <v>57</v>
      </c>
    </row>
    <row r="37" spans="1:14" ht="114" customHeight="1">
      <c r="A37" s="26">
        <v>17</v>
      </c>
      <c r="B37" s="27" t="s">
        <v>58</v>
      </c>
      <c r="C37" s="28" t="s">
        <v>22</v>
      </c>
      <c r="D37" s="34">
        <v>23</v>
      </c>
      <c r="E37" s="29">
        <v>24.95</v>
      </c>
      <c r="F37" s="30">
        <v>26.6</v>
      </c>
      <c r="G37" s="30">
        <v>25.7</v>
      </c>
      <c r="H37" s="30">
        <v>24.4</v>
      </c>
      <c r="I37" s="30">
        <v>23.1</v>
      </c>
      <c r="J37" s="33">
        <v>23</v>
      </c>
      <c r="K37" s="33">
        <v>22</v>
      </c>
      <c r="L37" s="33">
        <v>21</v>
      </c>
      <c r="M37" s="33">
        <v>21</v>
      </c>
      <c r="N37" s="32" t="s">
        <v>59</v>
      </c>
    </row>
    <row r="38" spans="1:18" s="48" customFormat="1" ht="91.5" customHeight="1">
      <c r="A38" s="43">
        <v>18</v>
      </c>
      <c r="B38" s="44" t="s">
        <v>60</v>
      </c>
      <c r="C38" s="45" t="s">
        <v>61</v>
      </c>
      <c r="D38" s="29">
        <v>34</v>
      </c>
      <c r="E38" s="29">
        <v>35.8</v>
      </c>
      <c r="F38" s="30">
        <v>42.07</v>
      </c>
      <c r="G38" s="46">
        <v>11.44</v>
      </c>
      <c r="H38" s="46">
        <v>13.08</v>
      </c>
      <c r="I38" s="46">
        <v>10.83</v>
      </c>
      <c r="J38" s="46">
        <v>16.37</v>
      </c>
      <c r="K38" s="46">
        <v>11.2</v>
      </c>
      <c r="L38" s="46">
        <v>11.2</v>
      </c>
      <c r="M38" s="46">
        <v>11.52</v>
      </c>
      <c r="N38" s="47" t="s">
        <v>62</v>
      </c>
      <c r="R38" s="84"/>
    </row>
    <row r="39" spans="1:14" ht="135.75" customHeight="1">
      <c r="A39" s="26">
        <v>19</v>
      </c>
      <c r="B39" s="27" t="s">
        <v>63</v>
      </c>
      <c r="C39" s="28" t="s">
        <v>64</v>
      </c>
      <c r="D39" s="29">
        <f>(17494+5815)/40606*100</f>
        <v>57.4028468699207</v>
      </c>
      <c r="E39" s="29">
        <f>(17241+5693)/39244*100</f>
        <v>58.439506676179796</v>
      </c>
      <c r="F39" s="30">
        <f>(F40+F41+F42+F43)/F45*100</f>
        <v>93.33403538331929</v>
      </c>
      <c r="G39" s="30">
        <f>(G40+G41+G42+G43)/G45*100</f>
        <v>93.1048100465998</v>
      </c>
      <c r="H39" s="30">
        <f>(H40+H41+H42+H43)/H45*100</f>
        <v>91.993281075028</v>
      </c>
      <c r="I39" s="30">
        <f>(I40+I41+I42+I43+I44)/I45*100</f>
        <v>93.89782403027436</v>
      </c>
      <c r="J39" s="30">
        <f>(J40+J41+J42+J43+J44)/J45*100</f>
        <v>92.29648290851611</v>
      </c>
      <c r="K39" s="30">
        <f>(K40+K41+K42+K43+K44)/K45*100</f>
        <v>76.37067565879855</v>
      </c>
      <c r="L39" s="30">
        <f>(L40+L41+L42+L43+L44)/L45*100</f>
        <v>76.5597898805689</v>
      </c>
      <c r="M39" s="30">
        <f>(M40+M41+M42+M43+M44)/M45*100</f>
        <v>76.62814478969027</v>
      </c>
      <c r="N39" s="32" t="s">
        <v>65</v>
      </c>
    </row>
    <row r="40" spans="1:18" s="81" customFormat="1" ht="15.75" hidden="1">
      <c r="A40" s="79"/>
      <c r="B40" s="70" t="s">
        <v>155</v>
      </c>
      <c r="C40" s="71"/>
      <c r="D40" s="85">
        <v>17494</v>
      </c>
      <c r="E40" s="85">
        <v>17421</v>
      </c>
      <c r="F40" s="77">
        <v>16786</v>
      </c>
      <c r="G40" s="77">
        <v>16900</v>
      </c>
      <c r="H40" s="77">
        <v>17445</v>
      </c>
      <c r="I40" s="77">
        <v>18068</v>
      </c>
      <c r="J40" s="77">
        <v>18318</v>
      </c>
      <c r="K40" s="77">
        <v>18300</v>
      </c>
      <c r="L40" s="77">
        <v>18500</v>
      </c>
      <c r="M40" s="77">
        <v>18600</v>
      </c>
      <c r="N40" s="86"/>
      <c r="R40" s="82"/>
    </row>
    <row r="41" spans="1:18" s="81" customFormat="1" ht="15.75" hidden="1">
      <c r="A41" s="79"/>
      <c r="B41" s="70" t="s">
        <v>156</v>
      </c>
      <c r="C41" s="71"/>
      <c r="D41" s="85"/>
      <c r="E41" s="85"/>
      <c r="F41" s="77">
        <v>6914</v>
      </c>
      <c r="G41" s="77">
        <v>6772</v>
      </c>
      <c r="H41" s="77">
        <v>6974</v>
      </c>
      <c r="I41" s="77">
        <f>7086+398</f>
        <v>7484</v>
      </c>
      <c r="J41" s="77">
        <v>6582</v>
      </c>
      <c r="K41" s="77">
        <v>6500</v>
      </c>
      <c r="L41" s="77">
        <v>6600</v>
      </c>
      <c r="M41" s="77">
        <v>6700</v>
      </c>
      <c r="N41" s="86"/>
      <c r="R41" s="82"/>
    </row>
    <row r="42" spans="1:18" s="81" customFormat="1" ht="15.75" hidden="1">
      <c r="A42" s="79"/>
      <c r="B42" s="70" t="s">
        <v>157</v>
      </c>
      <c r="C42" s="71"/>
      <c r="D42" s="85"/>
      <c r="E42" s="85"/>
      <c r="F42" s="77">
        <v>6190</v>
      </c>
      <c r="G42" s="77">
        <v>6202</v>
      </c>
      <c r="H42" s="77">
        <v>6259</v>
      </c>
      <c r="I42" s="77">
        <v>6364</v>
      </c>
      <c r="J42" s="78">
        <v>6694</v>
      </c>
      <c r="K42" s="78"/>
      <c r="L42" s="78"/>
      <c r="M42" s="78"/>
      <c r="N42" s="87"/>
      <c r="R42" s="82"/>
    </row>
    <row r="43" spans="1:18" s="81" customFormat="1" ht="15.75" hidden="1">
      <c r="A43" s="79"/>
      <c r="B43" s="70" t="s">
        <v>158</v>
      </c>
      <c r="C43" s="71"/>
      <c r="D43" s="85">
        <v>5815</v>
      </c>
      <c r="E43" s="85">
        <v>5693</v>
      </c>
      <c r="F43" s="77">
        <v>5562</v>
      </c>
      <c r="G43" s="77">
        <v>5490</v>
      </c>
      <c r="H43" s="77">
        <v>5468</v>
      </c>
      <c r="I43" s="77">
        <v>5401</v>
      </c>
      <c r="J43" s="77">
        <v>5377</v>
      </c>
      <c r="K43" s="77">
        <v>5377</v>
      </c>
      <c r="L43" s="77">
        <v>5400</v>
      </c>
      <c r="M43" s="77">
        <v>5400</v>
      </c>
      <c r="N43" s="86"/>
      <c r="R43" s="82"/>
    </row>
    <row r="44" spans="1:18" s="81" customFormat="1" ht="15.75" hidden="1">
      <c r="A44" s="79"/>
      <c r="B44" s="70" t="s">
        <v>159</v>
      </c>
      <c r="C44" s="71"/>
      <c r="D44" s="85"/>
      <c r="E44" s="85"/>
      <c r="F44" s="77"/>
      <c r="G44" s="77"/>
      <c r="H44" s="77"/>
      <c r="I44" s="77">
        <v>398</v>
      </c>
      <c r="J44" s="77">
        <v>398</v>
      </c>
      <c r="K44" s="77">
        <v>398</v>
      </c>
      <c r="L44" s="77">
        <v>398</v>
      </c>
      <c r="M44" s="77">
        <v>398</v>
      </c>
      <c r="N44" s="86"/>
      <c r="R44" s="82"/>
    </row>
    <row r="45" spans="1:18" s="81" customFormat="1" ht="15.75" hidden="1">
      <c r="A45" s="79"/>
      <c r="B45" s="70" t="s">
        <v>160</v>
      </c>
      <c r="C45" s="71"/>
      <c r="D45" s="80"/>
      <c r="E45" s="80"/>
      <c r="F45" s="77">
        <v>37984</v>
      </c>
      <c r="G45" s="77">
        <v>37983</v>
      </c>
      <c r="H45" s="77">
        <v>39292</v>
      </c>
      <c r="I45" s="77">
        <v>40166</v>
      </c>
      <c r="J45" s="77">
        <v>40488</v>
      </c>
      <c r="K45" s="77">
        <v>40035</v>
      </c>
      <c r="L45" s="77">
        <v>40358</v>
      </c>
      <c r="M45" s="77">
        <v>40583</v>
      </c>
      <c r="N45" s="86"/>
      <c r="R45" s="82"/>
    </row>
    <row r="46" spans="1:14" ht="27.75" customHeight="1">
      <c r="A46" s="124" t="s">
        <v>66</v>
      </c>
      <c r="B46" s="124"/>
      <c r="C46" s="124"/>
      <c r="D46" s="124"/>
      <c r="E46" s="124"/>
      <c r="F46" s="124"/>
      <c r="G46" s="124"/>
      <c r="H46" s="124"/>
      <c r="I46" s="124"/>
      <c r="J46" s="124"/>
      <c r="K46" s="124"/>
      <c r="L46" s="124"/>
      <c r="M46" s="124"/>
      <c r="N46" s="124"/>
    </row>
    <row r="47" spans="1:14" ht="54.75" customHeight="1">
      <c r="A47" s="26">
        <v>20</v>
      </c>
      <c r="B47" s="27" t="s">
        <v>67</v>
      </c>
      <c r="C47" s="28"/>
      <c r="D47" s="37"/>
      <c r="E47" s="37"/>
      <c r="F47" s="38"/>
      <c r="G47" s="38"/>
      <c r="H47" s="38"/>
      <c r="I47" s="38"/>
      <c r="J47" s="38"/>
      <c r="K47" s="38"/>
      <c r="L47" s="38"/>
      <c r="M47" s="38"/>
      <c r="N47" s="125" t="s">
        <v>68</v>
      </c>
    </row>
    <row r="48" spans="1:14" ht="41.25" customHeight="1">
      <c r="A48" s="26"/>
      <c r="B48" s="27" t="s">
        <v>69</v>
      </c>
      <c r="C48" s="28" t="s">
        <v>22</v>
      </c>
      <c r="D48" s="29">
        <f>1968/20/D86*100</f>
        <v>30.933668657654824</v>
      </c>
      <c r="E48" s="29">
        <f>1968/20/E86*100</f>
        <v>30.88153604258137</v>
      </c>
      <c r="F48" s="30">
        <f>1968/20/F86*100</f>
        <v>30.981782460029095</v>
      </c>
      <c r="G48" s="30">
        <f>(1968)/20/G86*100</f>
        <v>30.91296931008159</v>
      </c>
      <c r="H48" s="30">
        <f>1968/(H86*20)*100</f>
        <v>30.78838927287461</v>
      </c>
      <c r="I48" s="30">
        <v>66.7</v>
      </c>
      <c r="J48" s="30">
        <v>66.7</v>
      </c>
      <c r="K48" s="30">
        <v>66.7</v>
      </c>
      <c r="L48" s="30">
        <v>66.7</v>
      </c>
      <c r="M48" s="30">
        <v>66.7</v>
      </c>
      <c r="N48" s="125"/>
    </row>
    <row r="49" spans="1:14" ht="44.25" customHeight="1">
      <c r="A49" s="26"/>
      <c r="B49" s="27" t="s">
        <v>70</v>
      </c>
      <c r="C49" s="28" t="s">
        <v>22</v>
      </c>
      <c r="D49" s="29">
        <f>(18+0.09*27+1)/32*100</f>
        <v>66.96875</v>
      </c>
      <c r="E49" s="29">
        <f>(18+0.09*27+1)/32*100</f>
        <v>66.96875</v>
      </c>
      <c r="F49" s="30">
        <f>(18+0.09*27+1)/32*100</f>
        <v>66.96875</v>
      </c>
      <c r="G49" s="30">
        <f>(18+0.09*34+1)/32*100</f>
        <v>68.9375</v>
      </c>
      <c r="H49" s="30">
        <v>70.6</v>
      </c>
      <c r="I49" s="30">
        <v>90</v>
      </c>
      <c r="J49" s="30">
        <v>90</v>
      </c>
      <c r="K49" s="30">
        <v>90</v>
      </c>
      <c r="L49" s="30">
        <v>90</v>
      </c>
      <c r="M49" s="30">
        <v>90</v>
      </c>
      <c r="N49" s="125"/>
    </row>
    <row r="50" spans="1:14" ht="45" customHeight="1">
      <c r="A50" s="26"/>
      <c r="B50" s="27" t="s">
        <v>71</v>
      </c>
      <c r="C50" s="28" t="s">
        <v>22</v>
      </c>
      <c r="D50" s="34">
        <v>66.7</v>
      </c>
      <c r="E50" s="34">
        <v>66.7</v>
      </c>
      <c r="F50" s="35">
        <v>66.7</v>
      </c>
      <c r="G50" s="35">
        <v>66.7</v>
      </c>
      <c r="H50" s="35">
        <v>66.7</v>
      </c>
      <c r="I50" s="35">
        <v>20</v>
      </c>
      <c r="J50" s="35">
        <v>20</v>
      </c>
      <c r="K50" s="35">
        <v>20</v>
      </c>
      <c r="L50" s="35">
        <v>20</v>
      </c>
      <c r="M50" s="35">
        <v>20</v>
      </c>
      <c r="N50" s="125"/>
    </row>
    <row r="51" spans="1:14" ht="104.25" customHeight="1">
      <c r="A51" s="26">
        <v>21</v>
      </c>
      <c r="B51" s="27" t="s">
        <v>72</v>
      </c>
      <c r="C51" s="28" t="s">
        <v>22</v>
      </c>
      <c r="D51" s="34">
        <v>2</v>
      </c>
      <c r="E51" s="34">
        <v>2</v>
      </c>
      <c r="F51" s="35">
        <v>0</v>
      </c>
      <c r="G51" s="35">
        <v>0</v>
      </c>
      <c r="H51" s="35">
        <v>0</v>
      </c>
      <c r="I51" s="35">
        <v>0</v>
      </c>
      <c r="J51" s="35">
        <v>0</v>
      </c>
      <c r="K51" s="35">
        <v>0</v>
      </c>
      <c r="L51" s="35">
        <v>0</v>
      </c>
      <c r="M51" s="35">
        <v>0</v>
      </c>
      <c r="N51" s="125"/>
    </row>
    <row r="52" spans="1:14" ht="122.25" customHeight="1">
      <c r="A52" s="26">
        <v>22</v>
      </c>
      <c r="B52" s="27" t="s">
        <v>73</v>
      </c>
      <c r="C52" s="28" t="s">
        <v>22</v>
      </c>
      <c r="D52" s="42">
        <f>24/45*100</f>
        <v>53.333333333333336</v>
      </c>
      <c r="E52" s="42">
        <f>24/45*100</f>
        <v>53.333333333333336</v>
      </c>
      <c r="F52" s="33">
        <f>24/45*100</f>
        <v>53.333333333333336</v>
      </c>
      <c r="G52" s="33">
        <f>24/44*100</f>
        <v>54.54545454545454</v>
      </c>
      <c r="H52" s="33">
        <f>26/44*100</f>
        <v>59.09090909090909</v>
      </c>
      <c r="I52" s="33">
        <f>24/44*100</f>
        <v>54.54545454545454</v>
      </c>
      <c r="J52" s="33">
        <f>22/44*100</f>
        <v>50</v>
      </c>
      <c r="K52" s="33">
        <f>20/44*100</f>
        <v>45.45454545454545</v>
      </c>
      <c r="L52" s="33">
        <f>18/44*100</f>
        <v>40.909090909090914</v>
      </c>
      <c r="M52" s="33">
        <f>16/44*100</f>
        <v>36.36363636363637</v>
      </c>
      <c r="N52" s="32" t="s">
        <v>74</v>
      </c>
    </row>
    <row r="53" spans="1:14" ht="30" customHeight="1">
      <c r="A53" s="124" t="s">
        <v>75</v>
      </c>
      <c r="B53" s="124"/>
      <c r="C53" s="124"/>
      <c r="D53" s="124"/>
      <c r="E53" s="124"/>
      <c r="F53" s="124"/>
      <c r="G53" s="124"/>
      <c r="H53" s="124"/>
      <c r="I53" s="124"/>
      <c r="J53" s="124"/>
      <c r="K53" s="124"/>
      <c r="L53" s="124"/>
      <c r="M53" s="124"/>
      <c r="N53" s="124"/>
    </row>
    <row r="54" spans="1:14" ht="78" customHeight="1">
      <c r="A54" s="26">
        <v>23</v>
      </c>
      <c r="B54" s="27" t="s">
        <v>76</v>
      </c>
      <c r="C54" s="28" t="s">
        <v>22</v>
      </c>
      <c r="D54" s="29">
        <f>50.275/D86*100</f>
        <v>15.804778371581262</v>
      </c>
      <c r="E54" s="29">
        <f>54.566/E86*100</f>
        <v>17.12481601320625</v>
      </c>
      <c r="F54" s="30">
        <f>54.484/F86*100</f>
        <v>17.154587759677085</v>
      </c>
      <c r="G54" s="30">
        <f>56.214/G86*100</f>
        <v>17.659976186960634</v>
      </c>
      <c r="H54" s="30">
        <f>57.437/H85*100</f>
        <v>17.96865956934281</v>
      </c>
      <c r="I54" s="30">
        <f>57721/I86/10</f>
        <v>18.08630640905929</v>
      </c>
      <c r="J54" s="30">
        <f>63213/J86/10</f>
        <v>19.942865345513226</v>
      </c>
      <c r="K54" s="30">
        <v>20</v>
      </c>
      <c r="L54" s="30">
        <v>20</v>
      </c>
      <c r="M54" s="30">
        <v>20</v>
      </c>
      <c r="N54" s="32" t="s">
        <v>77</v>
      </c>
    </row>
    <row r="55" spans="1:14" ht="78" customHeight="1" hidden="1">
      <c r="A55" s="88"/>
      <c r="B55" s="89" t="s">
        <v>161</v>
      </c>
      <c r="C55" s="90"/>
      <c r="D55" s="91"/>
      <c r="E55" s="91"/>
      <c r="F55" s="92"/>
      <c r="G55" s="92">
        <f>56214/G56*100</f>
        <v>18.84996881475967</v>
      </c>
      <c r="H55" s="92">
        <f>57437/H56*100</f>
        <v>19.10796029169106</v>
      </c>
      <c r="I55" s="92">
        <f>57721/I56*100</f>
        <v>19.226041975464906</v>
      </c>
      <c r="J55" s="92">
        <f>63213/J56*100</f>
        <v>21.170359554174258</v>
      </c>
      <c r="K55" s="92">
        <v>21.4</v>
      </c>
      <c r="L55" s="92">
        <v>21.7</v>
      </c>
      <c r="M55" s="92">
        <v>22</v>
      </c>
      <c r="N55" s="93"/>
    </row>
    <row r="56" spans="1:18" s="81" customFormat="1" ht="15.75" hidden="1">
      <c r="A56" s="94"/>
      <c r="B56" s="95" t="s">
        <v>162</v>
      </c>
      <c r="C56" s="96"/>
      <c r="D56" s="97"/>
      <c r="E56" s="97"/>
      <c r="F56" s="98"/>
      <c r="G56" s="98">
        <v>298218</v>
      </c>
      <c r="H56" s="98">
        <v>300592</v>
      </c>
      <c r="I56" s="98">
        <v>300223</v>
      </c>
      <c r="J56" s="99">
        <v>298592</v>
      </c>
      <c r="K56" s="99">
        <v>299312</v>
      </c>
      <c r="L56" s="99">
        <v>299900</v>
      </c>
      <c r="M56" s="99">
        <v>300370</v>
      </c>
      <c r="N56" s="100"/>
      <c r="R56" s="82"/>
    </row>
    <row r="57" spans="1:14" ht="69.75" customHeight="1">
      <c r="A57" s="26" t="s">
        <v>78</v>
      </c>
      <c r="B57" s="27" t="s">
        <v>79</v>
      </c>
      <c r="C57" s="28" t="s">
        <v>22</v>
      </c>
      <c r="D57" s="29"/>
      <c r="E57" s="29"/>
      <c r="F57" s="49" t="s">
        <v>80</v>
      </c>
      <c r="G57" s="49">
        <v>38</v>
      </c>
      <c r="H57" s="30">
        <f>11834/30530*100</f>
        <v>38.7618735669833</v>
      </c>
      <c r="I57" s="30">
        <f>14625/I60*100</f>
        <v>46.410891089108915</v>
      </c>
      <c r="J57" s="30">
        <f>J59/J60*100</f>
        <v>48.89411764705882</v>
      </c>
      <c r="K57" s="30">
        <f>K59/K60*100</f>
        <v>48.94117647058824</v>
      </c>
      <c r="L57" s="30">
        <f>L59/L60*100</f>
        <v>49.254901960784316</v>
      </c>
      <c r="M57" s="30">
        <f>M59/M60*100</f>
        <v>49.568627450980394</v>
      </c>
      <c r="N57" s="32" t="s">
        <v>81</v>
      </c>
    </row>
    <row r="58" spans="1:14" ht="33.75" customHeight="1" hidden="1">
      <c r="A58" s="88"/>
      <c r="B58" s="89" t="s">
        <v>163</v>
      </c>
      <c r="C58" s="90"/>
      <c r="D58" s="91"/>
      <c r="E58" s="91"/>
      <c r="F58" s="101"/>
      <c r="G58" s="101"/>
      <c r="H58" s="92"/>
      <c r="I58" s="92">
        <f>14625/I61*100</f>
        <v>30.144073211451655</v>
      </c>
      <c r="J58" s="92">
        <f>15585/J61*100</f>
        <v>31.35814889336016</v>
      </c>
      <c r="K58" s="92">
        <v>31.7</v>
      </c>
      <c r="L58" s="92">
        <v>32</v>
      </c>
      <c r="M58" s="92">
        <v>32.8</v>
      </c>
      <c r="N58" s="93"/>
    </row>
    <row r="59" spans="1:14" ht="31.5" hidden="1">
      <c r="A59" s="26"/>
      <c r="B59" s="70" t="s">
        <v>164</v>
      </c>
      <c r="C59" s="28"/>
      <c r="D59" s="29"/>
      <c r="E59" s="29"/>
      <c r="F59" s="49"/>
      <c r="G59" s="49"/>
      <c r="H59" s="30"/>
      <c r="I59" s="77">
        <v>14625</v>
      </c>
      <c r="J59" s="83">
        <v>15585</v>
      </c>
      <c r="K59" s="83">
        <v>15600</v>
      </c>
      <c r="L59" s="83">
        <v>15700</v>
      </c>
      <c r="M59" s="83">
        <v>15800</v>
      </c>
      <c r="N59" s="87" t="s">
        <v>165</v>
      </c>
    </row>
    <row r="60" spans="1:18" s="81" customFormat="1" ht="15.75" hidden="1">
      <c r="A60" s="79"/>
      <c r="B60" s="70" t="s">
        <v>166</v>
      </c>
      <c r="C60" s="71"/>
      <c r="D60" s="85"/>
      <c r="E60" s="85"/>
      <c r="F60" s="77"/>
      <c r="G60" s="77"/>
      <c r="H60" s="77"/>
      <c r="I60" s="77">
        <v>31512</v>
      </c>
      <c r="J60" s="78">
        <v>31875</v>
      </c>
      <c r="K60" s="78">
        <v>31875</v>
      </c>
      <c r="L60" s="78">
        <v>31875</v>
      </c>
      <c r="M60" s="78">
        <v>31875</v>
      </c>
      <c r="N60" s="87"/>
      <c r="R60" s="82"/>
    </row>
    <row r="61" spans="1:18" s="81" customFormat="1" ht="15.75" hidden="1">
      <c r="A61" s="94"/>
      <c r="B61" s="95" t="s">
        <v>167</v>
      </c>
      <c r="C61" s="96"/>
      <c r="D61" s="97"/>
      <c r="E61" s="97"/>
      <c r="F61" s="98"/>
      <c r="G61" s="98">
        <v>45769</v>
      </c>
      <c r="H61" s="98">
        <v>47198</v>
      </c>
      <c r="I61" s="98">
        <v>48517</v>
      </c>
      <c r="J61" s="99">
        <v>49700</v>
      </c>
      <c r="K61" s="99">
        <v>49742</v>
      </c>
      <c r="L61" s="99">
        <v>50277</v>
      </c>
      <c r="M61" s="99">
        <v>50473</v>
      </c>
      <c r="N61" s="100"/>
      <c r="R61" s="82"/>
    </row>
    <row r="62" spans="1:14" ht="23.25" customHeight="1">
      <c r="A62" s="124" t="s">
        <v>82</v>
      </c>
      <c r="B62" s="124"/>
      <c r="C62" s="124"/>
      <c r="D62" s="124"/>
      <c r="E62" s="124"/>
      <c r="F62" s="124"/>
      <c r="G62" s="124"/>
      <c r="H62" s="124"/>
      <c r="I62" s="124"/>
      <c r="J62" s="124"/>
      <c r="K62" s="124"/>
      <c r="L62" s="124"/>
      <c r="M62" s="124"/>
      <c r="N62" s="124"/>
    </row>
    <row r="63" spans="1:14" ht="49.5" customHeight="1">
      <c r="A63" s="26">
        <v>24</v>
      </c>
      <c r="B63" s="27" t="s">
        <v>83</v>
      </c>
      <c r="C63" s="28" t="s">
        <v>84</v>
      </c>
      <c r="D63" s="34">
        <v>25.3</v>
      </c>
      <c r="E63" s="29">
        <f>8241.4/318.136</f>
        <v>25.905273216486027</v>
      </c>
      <c r="F63" s="30">
        <f>8441.6/317.606</f>
        <v>26.578842968961546</v>
      </c>
      <c r="G63" s="30">
        <f>(8658.8+60)/G85</f>
        <v>27.284618995462367</v>
      </c>
      <c r="H63" s="30">
        <f>8880/H85</f>
        <v>27.780297887383426</v>
      </c>
      <c r="I63" s="30">
        <f>9080.3/I85</f>
        <v>28.497676009703955</v>
      </c>
      <c r="J63" s="30">
        <f>9175.5/J85</f>
        <v>29.10011797987999</v>
      </c>
      <c r="K63" s="30">
        <v>29.558830280308275</v>
      </c>
      <c r="L63" s="30">
        <v>29.943004028553244</v>
      </c>
      <c r="M63" s="30">
        <v>30.35738049085256</v>
      </c>
      <c r="N63" s="50" t="s">
        <v>85</v>
      </c>
    </row>
    <row r="64" spans="1:14" ht="19.5" customHeight="1">
      <c r="A64" s="26"/>
      <c r="B64" s="27" t="s">
        <v>86</v>
      </c>
      <c r="C64" s="28" t="s">
        <v>84</v>
      </c>
      <c r="D64" s="51">
        <v>0.6</v>
      </c>
      <c r="E64" s="51">
        <v>0.66</v>
      </c>
      <c r="F64" s="46">
        <f>238.971/F86</f>
        <v>0.7524133675056517</v>
      </c>
      <c r="G64" s="46">
        <v>0.81</v>
      </c>
      <c r="H64" s="46">
        <v>0.81</v>
      </c>
      <c r="I64" s="46">
        <v>0.65</v>
      </c>
      <c r="J64" s="46">
        <f>112/J86</f>
        <v>0.3533451851197509</v>
      </c>
      <c r="K64" s="46">
        <v>0.40944631921803426</v>
      </c>
      <c r="L64" s="46">
        <v>0.37579236971422214</v>
      </c>
      <c r="M64" s="46">
        <v>0.4124853826324963</v>
      </c>
      <c r="N64" s="52"/>
    </row>
    <row r="65" spans="1:18" ht="74.25" customHeight="1">
      <c r="A65" s="26">
        <v>25</v>
      </c>
      <c r="B65" s="27" t="s">
        <v>87</v>
      </c>
      <c r="C65" s="28" t="s">
        <v>88</v>
      </c>
      <c r="D65" s="53">
        <f>107.4443/D86*10</f>
        <v>3.3776894058472173</v>
      </c>
      <c r="E65" s="53">
        <f>34.8436/E86*10</f>
        <v>1.0935202126557808</v>
      </c>
      <c r="F65" s="54">
        <f>48.514022/F86*10</f>
        <v>1.5274907275051477</v>
      </c>
      <c r="G65" s="54">
        <f>69.28778/G86*10</f>
        <v>2.1767185129102486</v>
      </c>
      <c r="H65" s="54">
        <f>4.2915/H86*10</f>
        <v>0.13427680138672907</v>
      </c>
      <c r="I65" s="54">
        <f>1.3478/I86*10</f>
        <v>0.04223198450846333</v>
      </c>
      <c r="J65" s="54">
        <f>3.2199/J86*10</f>
        <v>0.1015835858542041</v>
      </c>
      <c r="K65" s="33">
        <v>0</v>
      </c>
      <c r="L65" s="33">
        <v>0</v>
      </c>
      <c r="M65" s="55">
        <v>0</v>
      </c>
      <c r="N65" s="31" t="s">
        <v>89</v>
      </c>
      <c r="R65" s="102">
        <f>29.143*315308</f>
        <v>9189021.044</v>
      </c>
    </row>
    <row r="66" spans="1:14" ht="19.5" customHeight="1">
      <c r="A66" s="26"/>
      <c r="B66" s="27" t="s">
        <v>90</v>
      </c>
      <c r="C66" s="28"/>
      <c r="D66" s="57"/>
      <c r="E66" s="57"/>
      <c r="F66" s="58"/>
      <c r="G66" s="59"/>
      <c r="H66" s="59"/>
      <c r="I66" s="59"/>
      <c r="J66" s="59"/>
      <c r="K66" s="59"/>
      <c r="L66" s="59"/>
      <c r="M66" s="60"/>
      <c r="N66" s="128" t="s">
        <v>91</v>
      </c>
    </row>
    <row r="67" spans="1:14" ht="84" customHeight="1">
      <c r="A67" s="26"/>
      <c r="B67" s="27" t="s">
        <v>92</v>
      </c>
      <c r="C67" s="28" t="s">
        <v>88</v>
      </c>
      <c r="D67" s="53">
        <f>61.1/D86*10</f>
        <v>1.9207796290474692</v>
      </c>
      <c r="E67" s="53">
        <f>(5.8448+4.9008)/E86*10</f>
        <v>0.3372364163609374</v>
      </c>
      <c r="F67" s="54">
        <f>(3.0278+13.9293+6.66)/F86*10</f>
        <v>0.7435974131471068</v>
      </c>
      <c r="G67" s="54">
        <f>(0.91+0.8456+53.5564)/G86*10</f>
        <v>1.7376607301618219</v>
      </c>
      <c r="H67" s="54">
        <f>(1.301+0.2838+0)/H86*10</f>
        <v>0.0495868285768818</v>
      </c>
      <c r="I67" s="54">
        <f>(0.166+1.1818+0)/I86*10</f>
        <v>0.04223198450846331</v>
      </c>
      <c r="J67" s="54">
        <f>(0.8625+0.6424+0)/J86*10</f>
        <v>0.04747760438274225</v>
      </c>
      <c r="K67" s="33">
        <v>0</v>
      </c>
      <c r="L67" s="33">
        <v>0</v>
      </c>
      <c r="M67" s="55">
        <v>0</v>
      </c>
      <c r="N67" s="128"/>
    </row>
    <row r="68" spans="1:14" ht="131.25" customHeight="1">
      <c r="A68" s="26">
        <v>26</v>
      </c>
      <c r="B68" s="27" t="s">
        <v>93</v>
      </c>
      <c r="C68" s="28"/>
      <c r="D68" s="37"/>
      <c r="E68" s="37"/>
      <c r="F68" s="38"/>
      <c r="G68" s="38"/>
      <c r="H68" s="38"/>
      <c r="I68" s="38"/>
      <c r="J68" s="38"/>
      <c r="K68" s="38"/>
      <c r="L68" s="38"/>
      <c r="M68" s="38"/>
      <c r="N68" s="127"/>
    </row>
    <row r="69" spans="1:14" ht="36" customHeight="1">
      <c r="A69" s="26"/>
      <c r="B69" s="27" t="s">
        <v>94</v>
      </c>
      <c r="C69" s="28" t="s">
        <v>95</v>
      </c>
      <c r="D69" s="34">
        <v>7817</v>
      </c>
      <c r="E69" s="34">
        <v>127000</v>
      </c>
      <c r="F69" s="35">
        <v>107500</v>
      </c>
      <c r="G69" s="35">
        <v>112000</v>
      </c>
      <c r="H69" s="61">
        <v>17108</v>
      </c>
      <c r="I69" s="61">
        <v>17108</v>
      </c>
      <c r="J69" s="61">
        <f>8000+14016+6278</f>
        <v>28294</v>
      </c>
      <c r="K69" s="61" t="s">
        <v>96</v>
      </c>
      <c r="L69" s="61" t="s">
        <v>96</v>
      </c>
      <c r="M69" s="61" t="s">
        <v>96</v>
      </c>
      <c r="N69" s="127"/>
    </row>
    <row r="70" spans="1:14" ht="34.5" customHeight="1">
      <c r="A70" s="26"/>
      <c r="B70" s="27" t="s">
        <v>97</v>
      </c>
      <c r="C70" s="28" t="s">
        <v>95</v>
      </c>
      <c r="D70" s="34">
        <v>53470</v>
      </c>
      <c r="E70" s="34">
        <v>58000</v>
      </c>
      <c r="F70" s="35">
        <v>41200</v>
      </c>
      <c r="G70" s="35">
        <v>58000</v>
      </c>
      <c r="H70" s="61">
        <f>44549-H69</f>
        <v>27441</v>
      </c>
      <c r="I70" s="61">
        <f>44549-I69</f>
        <v>27441</v>
      </c>
      <c r="J70" s="61">
        <f>14237+2503+3181+174+2792+4612+1960+2096</f>
        <v>31555</v>
      </c>
      <c r="K70" s="61" t="s">
        <v>96</v>
      </c>
      <c r="L70" s="61" t="s">
        <v>96</v>
      </c>
      <c r="M70" s="61" t="s">
        <v>96</v>
      </c>
      <c r="N70" s="127"/>
    </row>
    <row r="71" spans="1:14" ht="24" customHeight="1">
      <c r="A71" s="124" t="s">
        <v>98</v>
      </c>
      <c r="B71" s="124"/>
      <c r="C71" s="124"/>
      <c r="D71" s="124"/>
      <c r="E71" s="124"/>
      <c r="F71" s="124"/>
      <c r="G71" s="124"/>
      <c r="H71" s="124"/>
      <c r="I71" s="124"/>
      <c r="J71" s="124"/>
      <c r="K71" s="124"/>
      <c r="L71" s="124"/>
      <c r="M71" s="124"/>
      <c r="N71" s="124"/>
    </row>
    <row r="72" spans="1:14" ht="150" customHeight="1">
      <c r="A72" s="26">
        <v>27</v>
      </c>
      <c r="B72" s="27" t="s">
        <v>99</v>
      </c>
      <c r="C72" s="28" t="s">
        <v>33</v>
      </c>
      <c r="D72" s="34">
        <v>100</v>
      </c>
      <c r="E72" s="34">
        <v>100</v>
      </c>
      <c r="F72" s="35">
        <v>100</v>
      </c>
      <c r="G72" s="35">
        <v>99.6</v>
      </c>
      <c r="H72" s="35">
        <v>97</v>
      </c>
      <c r="I72" s="30">
        <v>96.01</v>
      </c>
      <c r="J72" s="30">
        <f>(1904-75-6)/1904*100</f>
        <v>95.74579831932773</v>
      </c>
      <c r="K72" s="35">
        <v>100</v>
      </c>
      <c r="L72" s="35">
        <v>100</v>
      </c>
      <c r="M72" s="35">
        <v>100</v>
      </c>
      <c r="N72" s="32" t="s">
        <v>100</v>
      </c>
    </row>
    <row r="73" spans="1:14" ht="342" customHeight="1">
      <c r="A73" s="26">
        <v>28</v>
      </c>
      <c r="B73" s="27" t="s">
        <v>101</v>
      </c>
      <c r="C73" s="28" t="s">
        <v>22</v>
      </c>
      <c r="D73" s="34">
        <v>85</v>
      </c>
      <c r="E73" s="34">
        <v>86.4</v>
      </c>
      <c r="F73" s="35">
        <v>90.5</v>
      </c>
      <c r="G73" s="30">
        <v>92</v>
      </c>
      <c r="H73" s="30">
        <v>94.7</v>
      </c>
      <c r="I73" s="30">
        <v>94.3</v>
      </c>
      <c r="J73" s="30">
        <v>94.7</v>
      </c>
      <c r="K73" s="30">
        <v>94.7</v>
      </c>
      <c r="L73" s="30">
        <v>94.7</v>
      </c>
      <c r="M73" s="30">
        <v>94.7</v>
      </c>
      <c r="N73" s="32" t="s">
        <v>102</v>
      </c>
    </row>
    <row r="74" spans="1:14" ht="87.75" customHeight="1">
      <c r="A74" s="26">
        <v>29</v>
      </c>
      <c r="B74" s="27" t="s">
        <v>103</v>
      </c>
      <c r="C74" s="28" t="s">
        <v>33</v>
      </c>
      <c r="D74" s="34">
        <v>100</v>
      </c>
      <c r="E74" s="34">
        <v>100</v>
      </c>
      <c r="F74" s="35">
        <v>100</v>
      </c>
      <c r="G74" s="35">
        <v>100</v>
      </c>
      <c r="H74" s="35">
        <v>100</v>
      </c>
      <c r="I74" s="35">
        <v>100</v>
      </c>
      <c r="J74" s="35">
        <v>100</v>
      </c>
      <c r="K74" s="35">
        <v>100</v>
      </c>
      <c r="L74" s="35">
        <v>100</v>
      </c>
      <c r="M74" s="35">
        <v>100</v>
      </c>
      <c r="N74" s="32" t="s">
        <v>104</v>
      </c>
    </row>
    <row r="75" spans="1:14" ht="162" customHeight="1">
      <c r="A75" s="26">
        <v>30</v>
      </c>
      <c r="B75" s="27" t="s">
        <v>105</v>
      </c>
      <c r="C75" s="28" t="s">
        <v>33</v>
      </c>
      <c r="D75" s="29">
        <f>354/5966*100</f>
        <v>5.933623868588669</v>
      </c>
      <c r="E75" s="29">
        <f>372/5791*100</f>
        <v>6.423761008461406</v>
      </c>
      <c r="F75" s="30">
        <v>7.1</v>
      </c>
      <c r="G75" s="30">
        <f>357/4945*100</f>
        <v>7.219413549039435</v>
      </c>
      <c r="H75" s="30">
        <f>310/5028*100</f>
        <v>6.165473349244232</v>
      </c>
      <c r="I75" s="30">
        <f>325/5147*100</f>
        <v>6.314357878375752</v>
      </c>
      <c r="J75" s="30">
        <f>147/4582*100</f>
        <v>3.2082060235704932</v>
      </c>
      <c r="K75" s="35">
        <f>144/4500*100</f>
        <v>3.2</v>
      </c>
      <c r="L75" s="30">
        <f>145/4450*100</f>
        <v>3.258426966292135</v>
      </c>
      <c r="M75" s="30">
        <f>150/4400*100</f>
        <v>3.4090909090909087</v>
      </c>
      <c r="N75" s="32" t="s">
        <v>106</v>
      </c>
    </row>
    <row r="76" spans="1:14" ht="33" customHeight="1">
      <c r="A76" s="124" t="s">
        <v>107</v>
      </c>
      <c r="B76" s="124"/>
      <c r="C76" s="124"/>
      <c r="D76" s="124"/>
      <c r="E76" s="124"/>
      <c r="F76" s="124"/>
      <c r="G76" s="124"/>
      <c r="H76" s="124"/>
      <c r="I76" s="124"/>
      <c r="J76" s="124"/>
      <c r="K76" s="124"/>
      <c r="L76" s="124"/>
      <c r="M76" s="124"/>
      <c r="N76" s="124"/>
    </row>
    <row r="77" spans="1:14" ht="264" customHeight="1">
      <c r="A77" s="26">
        <v>31</v>
      </c>
      <c r="B77" s="27" t="s">
        <v>108</v>
      </c>
      <c r="C77" s="28" t="s">
        <v>33</v>
      </c>
      <c r="D77" s="34">
        <v>72.1</v>
      </c>
      <c r="E77" s="29">
        <v>64.2</v>
      </c>
      <c r="F77" s="30">
        <v>65.1</v>
      </c>
      <c r="G77" s="30">
        <f>(2328663.1)/(4002424.7)*100</f>
        <v>58.18130944474733</v>
      </c>
      <c r="H77" s="30">
        <v>59.9</v>
      </c>
      <c r="I77" s="30">
        <v>57.2</v>
      </c>
      <c r="J77" s="30">
        <v>74.9</v>
      </c>
      <c r="K77" s="30">
        <v>96.1</v>
      </c>
      <c r="L77" s="30">
        <v>100</v>
      </c>
      <c r="M77" s="30">
        <v>100</v>
      </c>
      <c r="N77" s="32" t="s">
        <v>109</v>
      </c>
    </row>
    <row r="78" spans="1:14" ht="121.5" customHeight="1">
      <c r="A78" s="26">
        <v>32</v>
      </c>
      <c r="B78" s="27" t="s">
        <v>110</v>
      </c>
      <c r="C78" s="28" t="s">
        <v>33</v>
      </c>
      <c r="D78" s="51">
        <v>0.34</v>
      </c>
      <c r="E78" s="51">
        <v>0.33</v>
      </c>
      <c r="F78" s="46">
        <v>0.29</v>
      </c>
      <c r="G78" s="46">
        <v>0.24</v>
      </c>
      <c r="H78" s="46">
        <f>27012.9/15390252*100</f>
        <v>0.1755195431497808</v>
      </c>
      <c r="I78" s="46">
        <f>8396.9/15756491*100</f>
        <v>0.0532916878510577</v>
      </c>
      <c r="J78" s="46">
        <f>30935/18892598*100</f>
        <v>0.16374137638455016</v>
      </c>
      <c r="K78" s="30">
        <v>0</v>
      </c>
      <c r="L78" s="30">
        <v>0</v>
      </c>
      <c r="M78" s="30">
        <v>0</v>
      </c>
      <c r="N78" s="32" t="s">
        <v>111</v>
      </c>
    </row>
    <row r="79" spans="1:14" ht="88.5" customHeight="1">
      <c r="A79" s="26">
        <v>33</v>
      </c>
      <c r="B79" s="27" t="s">
        <v>112</v>
      </c>
      <c r="C79" s="28" t="s">
        <v>113</v>
      </c>
      <c r="D79" s="51">
        <v>0</v>
      </c>
      <c r="E79" s="51">
        <v>0</v>
      </c>
      <c r="F79" s="46">
        <v>0</v>
      </c>
      <c r="G79" s="46">
        <v>0</v>
      </c>
      <c r="H79" s="46">
        <v>0</v>
      </c>
      <c r="I79" s="46">
        <v>0</v>
      </c>
      <c r="J79" s="46">
        <v>0</v>
      </c>
      <c r="K79" s="46">
        <v>0</v>
      </c>
      <c r="L79" s="46">
        <v>0</v>
      </c>
      <c r="M79" s="46">
        <v>0</v>
      </c>
      <c r="N79" s="32"/>
    </row>
    <row r="80" spans="1:14" ht="123" customHeight="1">
      <c r="A80" s="26">
        <v>34</v>
      </c>
      <c r="B80" s="27" t="s">
        <v>114</v>
      </c>
      <c r="C80" s="28" t="s">
        <v>33</v>
      </c>
      <c r="D80" s="29">
        <v>0</v>
      </c>
      <c r="E80" s="29">
        <v>0</v>
      </c>
      <c r="F80" s="30">
        <v>0</v>
      </c>
      <c r="G80" s="30">
        <v>0.3</v>
      </c>
      <c r="H80" s="30">
        <v>0.5</v>
      </c>
      <c r="I80" s="30">
        <v>3.9</v>
      </c>
      <c r="J80" s="30">
        <v>3.4</v>
      </c>
      <c r="K80" s="30">
        <v>0</v>
      </c>
      <c r="L80" s="30">
        <v>0</v>
      </c>
      <c r="M80" s="30">
        <v>0</v>
      </c>
      <c r="N80" s="32" t="s">
        <v>115</v>
      </c>
    </row>
    <row r="81" spans="1:14" ht="135" customHeight="1">
      <c r="A81" s="26">
        <v>35</v>
      </c>
      <c r="B81" s="27" t="s">
        <v>116</v>
      </c>
      <c r="C81" s="28" t="s">
        <v>25</v>
      </c>
      <c r="D81" s="29">
        <f>313083.8/D86</f>
        <v>984.2307450487267</v>
      </c>
      <c r="E81" s="29">
        <f>312101.6/E86</f>
        <v>979.4895131450521</v>
      </c>
      <c r="F81" s="30">
        <f>343255/F86</f>
        <v>1080.757290479399</v>
      </c>
      <c r="G81" s="30">
        <f>332051.2/G86</f>
        <v>1043.1594059934719</v>
      </c>
      <c r="H81" s="30">
        <v>1057.5</v>
      </c>
      <c r="I81" s="30">
        <f>292766.3/I86</f>
        <v>917.354343834406</v>
      </c>
      <c r="J81" s="30">
        <f>310390.5/J86</f>
        <v>979.2409703742146</v>
      </c>
      <c r="K81" s="30">
        <f>274155.5/K86</f>
        <v>870.330776202653</v>
      </c>
      <c r="L81" s="30">
        <f>268838/L86</f>
        <v>855.0690987738745</v>
      </c>
      <c r="M81" s="30">
        <f>271301/M86</f>
        <v>864.4577881369297</v>
      </c>
      <c r="N81" s="32" t="s">
        <v>117</v>
      </c>
    </row>
    <row r="82" spans="1:14" ht="105.75" customHeight="1">
      <c r="A82" s="26">
        <v>36</v>
      </c>
      <c r="B82" s="27" t="s">
        <v>118</v>
      </c>
      <c r="C82" s="28" t="s">
        <v>119</v>
      </c>
      <c r="D82" s="62" t="s">
        <v>120</v>
      </c>
      <c r="E82" s="62" t="s">
        <v>120</v>
      </c>
      <c r="F82" s="62" t="s">
        <v>120</v>
      </c>
      <c r="G82" s="62" t="s">
        <v>120</v>
      </c>
      <c r="H82" s="62" t="s">
        <v>120</v>
      </c>
      <c r="I82" s="62" t="s">
        <v>120</v>
      </c>
      <c r="J82" s="62" t="s">
        <v>120</v>
      </c>
      <c r="K82" s="62" t="s">
        <v>120</v>
      </c>
      <c r="L82" s="62" t="s">
        <v>120</v>
      </c>
      <c r="M82" s="62" t="s">
        <v>120</v>
      </c>
      <c r="N82" s="32" t="s">
        <v>121</v>
      </c>
    </row>
    <row r="83" spans="1:14" ht="72.75" customHeight="1">
      <c r="A83" s="26">
        <v>37</v>
      </c>
      <c r="B83" s="27" t="s">
        <v>122</v>
      </c>
      <c r="C83" s="28" t="s">
        <v>123</v>
      </c>
      <c r="D83" s="34">
        <v>34.9</v>
      </c>
      <c r="E83" s="29">
        <v>37.7</v>
      </c>
      <c r="F83" s="35">
        <v>23.6</v>
      </c>
      <c r="G83" s="35">
        <v>40.8</v>
      </c>
      <c r="H83" s="35">
        <v>36.9</v>
      </c>
      <c r="I83" s="35">
        <v>36.3</v>
      </c>
      <c r="J83" s="35"/>
      <c r="K83" s="35"/>
      <c r="L83" s="35"/>
      <c r="M83" s="35"/>
      <c r="N83" s="32" t="s">
        <v>124</v>
      </c>
    </row>
    <row r="84" spans="1:14" ht="15.75" hidden="1">
      <c r="A84" s="79"/>
      <c r="B84" s="70" t="s">
        <v>168</v>
      </c>
      <c r="C84" s="71"/>
      <c r="D84" s="103"/>
      <c r="E84" s="103"/>
      <c r="F84" s="104"/>
      <c r="G84" s="70"/>
      <c r="H84" s="70"/>
      <c r="I84" s="70">
        <v>319.651</v>
      </c>
      <c r="J84" s="105">
        <f>I85</f>
        <v>318.633</v>
      </c>
      <c r="K84" s="105">
        <f>J85</f>
        <v>315.308</v>
      </c>
      <c r="L84" s="105">
        <v>314.695</v>
      </c>
      <c r="M84" s="105">
        <v>314.115</v>
      </c>
      <c r="N84" s="106"/>
    </row>
    <row r="85" spans="1:18" s="109" customFormat="1" ht="15.75" hidden="1">
      <c r="A85" s="107"/>
      <c r="B85" s="70" t="s">
        <v>169</v>
      </c>
      <c r="C85" s="71"/>
      <c r="D85" s="103"/>
      <c r="E85" s="103"/>
      <c r="F85" s="104"/>
      <c r="G85" s="70">
        <v>319.55</v>
      </c>
      <c r="H85" s="70">
        <v>319.651</v>
      </c>
      <c r="I85" s="70">
        <v>318.633</v>
      </c>
      <c r="J85" s="105">
        <v>315.308</v>
      </c>
      <c r="K85" s="105">
        <v>314.695</v>
      </c>
      <c r="L85" s="105">
        <v>314.115</v>
      </c>
      <c r="M85" s="105">
        <v>313.564</v>
      </c>
      <c r="N85" s="108"/>
      <c r="R85" s="110"/>
    </row>
    <row r="86" spans="1:14" ht="60.75" customHeight="1">
      <c r="A86" s="26">
        <v>38</v>
      </c>
      <c r="B86" s="27" t="s">
        <v>125</v>
      </c>
      <c r="C86" s="28" t="s">
        <v>126</v>
      </c>
      <c r="D86" s="34">
        <v>318.1</v>
      </c>
      <c r="E86" s="53">
        <v>318.637</v>
      </c>
      <c r="F86" s="54">
        <v>317.606</v>
      </c>
      <c r="G86" s="54">
        <v>318.313</v>
      </c>
      <c r="H86" s="54">
        <v>319.601</v>
      </c>
      <c r="I86" s="54">
        <f>(I84+I85)/2</f>
        <v>319.142</v>
      </c>
      <c r="J86" s="54">
        <f>(J84+J85)/2</f>
        <v>316.9705</v>
      </c>
      <c r="K86" s="54">
        <f>(K84+K85)/2</f>
        <v>315.00149999999996</v>
      </c>
      <c r="L86" s="54">
        <f>(L84+L85)/2</f>
        <v>314.405</v>
      </c>
      <c r="M86" s="54">
        <f>(M84+M85)/2</f>
        <v>313.83950000000004</v>
      </c>
      <c r="N86" s="32" t="s">
        <v>127</v>
      </c>
    </row>
    <row r="87" spans="1:14" ht="31.5" customHeight="1">
      <c r="A87" s="124" t="s">
        <v>128</v>
      </c>
      <c r="B87" s="124"/>
      <c r="C87" s="124"/>
      <c r="D87" s="124"/>
      <c r="E87" s="124"/>
      <c r="F87" s="124"/>
      <c r="G87" s="124"/>
      <c r="H87" s="124"/>
      <c r="I87" s="124"/>
      <c r="J87" s="124"/>
      <c r="K87" s="124"/>
      <c r="L87" s="124"/>
      <c r="M87" s="124"/>
      <c r="N87" s="124"/>
    </row>
    <row r="88" spans="1:14" ht="54" customHeight="1">
      <c r="A88" s="26">
        <v>39</v>
      </c>
      <c r="B88" s="27" t="s">
        <v>129</v>
      </c>
      <c r="C88" s="28"/>
      <c r="D88" s="57"/>
      <c r="E88" s="57"/>
      <c r="F88" s="58"/>
      <c r="G88" s="58"/>
      <c r="H88" s="58"/>
      <c r="I88" s="58"/>
      <c r="J88" s="58"/>
      <c r="K88" s="58"/>
      <c r="L88" s="58"/>
      <c r="M88" s="58"/>
      <c r="N88" s="63" t="s">
        <v>130</v>
      </c>
    </row>
    <row r="89" spans="1:14" ht="30" customHeight="1">
      <c r="A89" s="26"/>
      <c r="B89" s="27" t="s">
        <v>131</v>
      </c>
      <c r="C89" s="28" t="s">
        <v>132</v>
      </c>
      <c r="D89" s="29">
        <v>664.93</v>
      </c>
      <c r="E89" s="29">
        <v>661.6</v>
      </c>
      <c r="F89" s="30">
        <v>658.4</v>
      </c>
      <c r="G89" s="30">
        <v>638.6</v>
      </c>
      <c r="H89" s="30">
        <v>637.9</v>
      </c>
      <c r="I89" s="30">
        <v>637.3</v>
      </c>
      <c r="J89" s="30">
        <v>629.8</v>
      </c>
      <c r="K89" s="30">
        <v>629.4</v>
      </c>
      <c r="L89" s="30">
        <v>629</v>
      </c>
      <c r="M89" s="30">
        <v>629</v>
      </c>
      <c r="N89" s="64"/>
    </row>
    <row r="90" spans="1:14" ht="36" customHeight="1">
      <c r="A90" s="26"/>
      <c r="B90" s="27" t="s">
        <v>133</v>
      </c>
      <c r="C90" s="28" t="s">
        <v>134</v>
      </c>
      <c r="D90" s="51">
        <v>0.2</v>
      </c>
      <c r="E90" s="34">
        <v>0.19</v>
      </c>
      <c r="F90" s="35">
        <v>0.17</v>
      </c>
      <c r="G90" s="35">
        <v>0.16</v>
      </c>
      <c r="H90" s="35">
        <v>0.157</v>
      </c>
      <c r="I90" s="35">
        <v>0.155</v>
      </c>
      <c r="J90" s="35">
        <v>0.15</v>
      </c>
      <c r="K90" s="35">
        <v>0.14</v>
      </c>
      <c r="L90" s="35">
        <v>0.14</v>
      </c>
      <c r="M90" s="35">
        <v>0.14</v>
      </c>
      <c r="N90" s="64"/>
    </row>
    <row r="91" spans="1:14" ht="30" customHeight="1">
      <c r="A91" s="26"/>
      <c r="B91" s="27" t="s">
        <v>135</v>
      </c>
      <c r="C91" s="28" t="s">
        <v>136</v>
      </c>
      <c r="D91" s="29">
        <v>21.1</v>
      </c>
      <c r="E91" s="29">
        <v>21.1</v>
      </c>
      <c r="F91" s="30">
        <v>20.3</v>
      </c>
      <c r="G91" s="30">
        <v>19.7</v>
      </c>
      <c r="H91" s="46">
        <v>18.12</v>
      </c>
      <c r="I91" s="30">
        <v>17.5</v>
      </c>
      <c r="J91" s="46">
        <v>17.62</v>
      </c>
      <c r="K91" s="46">
        <v>17.58</v>
      </c>
      <c r="L91" s="30">
        <v>17</v>
      </c>
      <c r="M91" s="30">
        <v>17</v>
      </c>
      <c r="N91" s="64"/>
    </row>
    <row r="92" spans="1:14" ht="29.25" customHeight="1">
      <c r="A92" s="26"/>
      <c r="B92" s="27" t="s">
        <v>137</v>
      </c>
      <c r="C92" s="28" t="s">
        <v>136</v>
      </c>
      <c r="D92" s="29">
        <v>83.59</v>
      </c>
      <c r="E92" s="29">
        <v>80.3</v>
      </c>
      <c r="F92" s="30">
        <v>75.3</v>
      </c>
      <c r="G92" s="30">
        <v>74.9</v>
      </c>
      <c r="H92" s="30">
        <v>69.97</v>
      </c>
      <c r="I92" s="30">
        <v>69.1</v>
      </c>
      <c r="J92" s="30">
        <v>68.9</v>
      </c>
      <c r="K92" s="30">
        <v>68.5</v>
      </c>
      <c r="L92" s="30">
        <v>68.5</v>
      </c>
      <c r="M92" s="30">
        <v>68.5</v>
      </c>
      <c r="N92" s="64"/>
    </row>
    <row r="93" spans="1:14" ht="30" customHeight="1">
      <c r="A93" s="26"/>
      <c r="B93" s="27" t="s">
        <v>138</v>
      </c>
      <c r="C93" s="28" t="s">
        <v>136</v>
      </c>
      <c r="D93" s="29">
        <v>439.14</v>
      </c>
      <c r="E93" s="29">
        <v>432.3</v>
      </c>
      <c r="F93" s="30">
        <v>425</v>
      </c>
      <c r="G93" s="30">
        <v>416.9</v>
      </c>
      <c r="H93" s="30">
        <v>416.2</v>
      </c>
      <c r="I93" s="30">
        <v>412.5</v>
      </c>
      <c r="J93" s="30">
        <v>412</v>
      </c>
      <c r="K93" s="30">
        <v>410</v>
      </c>
      <c r="L93" s="30">
        <v>409</v>
      </c>
      <c r="M93" s="30">
        <v>408</v>
      </c>
      <c r="N93" s="65"/>
    </row>
    <row r="94" spans="1:14" ht="71.25" customHeight="1">
      <c r="A94" s="26">
        <v>40</v>
      </c>
      <c r="B94" s="27" t="s">
        <v>139</v>
      </c>
      <c r="C94" s="28"/>
      <c r="D94" s="37"/>
      <c r="E94" s="37"/>
      <c r="F94" s="38"/>
      <c r="G94" s="38"/>
      <c r="H94" s="38"/>
      <c r="I94" s="38"/>
      <c r="J94" s="38"/>
      <c r="K94" s="38"/>
      <c r="L94" s="38"/>
      <c r="M94" s="38"/>
      <c r="N94" s="128" t="s">
        <v>140</v>
      </c>
    </row>
    <row r="95" spans="1:14" ht="41.25" customHeight="1">
      <c r="A95" s="26"/>
      <c r="B95" s="27" t="s">
        <v>141</v>
      </c>
      <c r="C95" s="28" t="s">
        <v>142</v>
      </c>
      <c r="D95" s="53">
        <v>30.206</v>
      </c>
      <c r="E95" s="53">
        <v>33.841</v>
      </c>
      <c r="F95" s="54">
        <v>33.116</v>
      </c>
      <c r="G95" s="54">
        <v>36.37</v>
      </c>
      <c r="H95" s="54">
        <v>36.769</v>
      </c>
      <c r="I95" s="54">
        <v>36.98</v>
      </c>
      <c r="J95" s="54">
        <v>36.1390631950557</v>
      </c>
      <c r="K95" s="54">
        <v>36.36507503150784</v>
      </c>
      <c r="L95" s="54">
        <v>36.43401027337352</v>
      </c>
      <c r="M95" s="54">
        <v>36.49971800827813</v>
      </c>
      <c r="N95" s="128"/>
    </row>
    <row r="96" spans="1:14" ht="33.75" customHeight="1">
      <c r="A96" s="26"/>
      <c r="B96" s="27" t="s">
        <v>143</v>
      </c>
      <c r="C96" s="28" t="s">
        <v>144</v>
      </c>
      <c r="D96" s="53">
        <v>0.185</v>
      </c>
      <c r="E96" s="53">
        <v>0.173</v>
      </c>
      <c r="F96" s="54">
        <v>0.129</v>
      </c>
      <c r="G96" s="54">
        <v>0.203</v>
      </c>
      <c r="H96" s="54">
        <v>0.199</v>
      </c>
      <c r="I96" s="54">
        <v>0.182</v>
      </c>
      <c r="J96" s="54">
        <v>0.13047734736557343</v>
      </c>
      <c r="K96" s="54">
        <v>0.13168927055363933</v>
      </c>
      <c r="L96" s="54">
        <v>0.13168927055363933</v>
      </c>
      <c r="M96" s="54">
        <v>0.131688392221136</v>
      </c>
      <c r="N96" s="128"/>
    </row>
    <row r="97" spans="1:14" ht="39.75" customHeight="1">
      <c r="A97" s="26"/>
      <c r="B97" s="27" t="s">
        <v>145</v>
      </c>
      <c r="C97" s="28" t="s">
        <v>146</v>
      </c>
      <c r="D97" s="53">
        <v>0.189</v>
      </c>
      <c r="E97" s="53">
        <v>0.195</v>
      </c>
      <c r="F97" s="54">
        <v>0.194</v>
      </c>
      <c r="G97" s="54">
        <v>0.299</v>
      </c>
      <c r="H97" s="54">
        <v>0.31</v>
      </c>
      <c r="I97" s="54">
        <v>0.304</v>
      </c>
      <c r="J97" s="54">
        <v>0.2728912108678712</v>
      </c>
      <c r="K97" s="54">
        <v>0.27459785841949713</v>
      </c>
      <c r="L97" s="54">
        <v>0.2764588667483024</v>
      </c>
      <c r="M97" s="54">
        <v>0.27695745270664257</v>
      </c>
      <c r="N97" s="128"/>
    </row>
    <row r="98" spans="1:14" ht="39" customHeight="1">
      <c r="A98" s="26"/>
      <c r="B98" s="27" t="s">
        <v>147</v>
      </c>
      <c r="C98" s="28" t="s">
        <v>146</v>
      </c>
      <c r="D98" s="53">
        <v>1.261</v>
      </c>
      <c r="E98" s="53">
        <v>1.371</v>
      </c>
      <c r="F98" s="54">
        <v>1.356</v>
      </c>
      <c r="G98" s="54">
        <v>1.784</v>
      </c>
      <c r="H98" s="54">
        <v>1.789</v>
      </c>
      <c r="I98" s="54">
        <v>1.788</v>
      </c>
      <c r="J98" s="54">
        <v>1.1793870732653775</v>
      </c>
      <c r="K98" s="54">
        <v>1.1867628991653996</v>
      </c>
      <c r="L98" s="54">
        <v>1.1948267362160272</v>
      </c>
      <c r="M98" s="54">
        <v>1.1969815733544906</v>
      </c>
      <c r="N98" s="128"/>
    </row>
    <row r="99" spans="1:14" ht="39" customHeight="1">
      <c r="A99" s="26"/>
      <c r="B99" s="27" t="s">
        <v>138</v>
      </c>
      <c r="C99" s="28" t="s">
        <v>146</v>
      </c>
      <c r="D99" s="53">
        <v>1.312</v>
      </c>
      <c r="E99" s="53">
        <v>0.954</v>
      </c>
      <c r="F99" s="54">
        <v>0.768</v>
      </c>
      <c r="G99" s="54">
        <v>1.047</v>
      </c>
      <c r="H99" s="54">
        <v>1.009</v>
      </c>
      <c r="I99" s="54">
        <v>1.017</v>
      </c>
      <c r="J99" s="54">
        <v>4.5464758605676865</v>
      </c>
      <c r="K99" s="54">
        <v>4.574909286002267</v>
      </c>
      <c r="L99" s="54">
        <v>4.606497988263547</v>
      </c>
      <c r="M99" s="54">
        <v>4.614805680619681</v>
      </c>
      <c r="N99" s="128"/>
    </row>
    <row r="100" spans="10:14" ht="15.75">
      <c r="J100" s="18"/>
      <c r="K100" s="18"/>
      <c r="L100" s="18"/>
      <c r="M100" s="18"/>
      <c r="N100" s="19"/>
    </row>
    <row r="101" spans="10:14" ht="15.75">
      <c r="J101" s="18"/>
      <c r="K101" s="18"/>
      <c r="L101" s="18"/>
      <c r="M101" s="18"/>
      <c r="N101" s="19"/>
    </row>
    <row r="103" spans="1:14" ht="12.75">
      <c r="A103" s="130" t="s">
        <v>170</v>
      </c>
      <c r="B103" s="130"/>
      <c r="C103" s="130"/>
      <c r="D103" s="130"/>
      <c r="E103" s="130"/>
      <c r="F103" s="130"/>
      <c r="G103" s="130"/>
      <c r="H103" s="130"/>
      <c r="I103" s="130"/>
      <c r="J103" s="130"/>
      <c r="K103" s="130"/>
      <c r="L103" s="130"/>
      <c r="M103" s="130"/>
      <c r="N103" s="130"/>
    </row>
  </sheetData>
  <sheetProtection selectLockedCells="1" selectUnlockedCells="1"/>
  <mergeCells count="25">
    <mergeCell ref="A87:N87"/>
    <mergeCell ref="N94:N99"/>
    <mergeCell ref="A103:N103"/>
    <mergeCell ref="A53:N53"/>
    <mergeCell ref="A62:N62"/>
    <mergeCell ref="N66:N67"/>
    <mergeCell ref="N68:N70"/>
    <mergeCell ref="A71:N71"/>
    <mergeCell ref="A76:N76"/>
    <mergeCell ref="A6:N6"/>
    <mergeCell ref="N18:N23"/>
    <mergeCell ref="A24:N24"/>
    <mergeCell ref="A32:N32"/>
    <mergeCell ref="A46:N46"/>
    <mergeCell ref="N47:N51"/>
    <mergeCell ref="A1:N1"/>
    <mergeCell ref="A2:N2"/>
    <mergeCell ref="P2:Q5"/>
    <mergeCell ref="A3:N3"/>
    <mergeCell ref="A4:A5"/>
    <mergeCell ref="B4:B5"/>
    <mergeCell ref="D4:D5"/>
    <mergeCell ref="F4:J4"/>
    <mergeCell ref="K4:M4"/>
    <mergeCell ref="N4:N5"/>
  </mergeCells>
  <printOptions/>
  <pageMargins left="0.5402777777777777" right="0.2902777777777778" top="0.9701388888888889" bottom="0.39375" header="0.5902777777777778" footer="0.5118055555555555"/>
  <pageSetup horizontalDpi="300" verticalDpi="300" orientation="landscape" paperSize="9" scale="95"/>
  <headerFooter alignWithMargins="0">
    <oddHeader>&amp;C&amp;P</oddHeader>
  </headerFooter>
  <rowBreaks count="2" manualBreakCount="2">
    <brk id="38" max="255" man="1"/>
    <brk id="65" max="255"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trakhinina-zhv</cp:lastModifiedBy>
  <dcterms:modified xsi:type="dcterms:W3CDTF">2018-05-03T08:30:20Z</dcterms:modified>
  <cp:category/>
  <cp:version/>
  <cp:contentType/>
  <cp:contentStatus/>
</cp:coreProperties>
</file>