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defaultThemeVersion="124226"/>
  <bookViews>
    <workbookView xWindow="0" yWindow="0" windowWidth="8400" windowHeight="10365"/>
  </bookViews>
  <sheets>
    <sheet name="целевые показатели" sheetId="1" r:id="rId1"/>
    <sheet name="перечень объектов" sheetId="2" r:id="rId2"/>
    <sheet name="прил.3" sheetId="3" r:id="rId3"/>
    <sheet name="Лист2" sheetId="15" r:id="rId4"/>
    <sheet name="по МК 56" sheetId="14" r:id="rId5"/>
    <sheet name="прил.4 файл не рабочий" sheetId="4" r:id="rId6"/>
    <sheet name="прил.5 файл не рабочий" sheetId="5" r:id="rId7"/>
    <sheet name="ФАКТ 2022" sheetId="8" r:id="rId8"/>
    <sheet name="Лист3" sheetId="9" r:id="rId9"/>
    <sheet name="Лист5" sheetId="11" r:id="rId10"/>
    <sheet name="Лист1" sheetId="12" r:id="rId11"/>
  </sheets>
  <externalReferences>
    <externalReference r:id="rId12"/>
  </externalReferences>
  <definedNames>
    <definedName name="_xlnm.Print_Titles" localSheetId="0">'целевые показатели'!$15:$17</definedName>
    <definedName name="_xlnm.Print_Area" localSheetId="1">'перечень объектов'!$A$1:$G$493</definedName>
    <definedName name="_xlnm.Print_Area" localSheetId="2">прил.3!$A$1:$I$29</definedName>
    <definedName name="_xlnm.Print_Area" localSheetId="5">'прил.4 файл не рабочий'!$A$1:$D$19</definedName>
    <definedName name="_xlnm.Print_Area" localSheetId="6">'прил.5 файл не рабочий'!$A$1:$J$34</definedName>
    <definedName name="_xlnm.Print_Area" localSheetId="0">'целевые показатели'!$A$1:$M$409</definedName>
  </definedNames>
  <calcPr calcId="145621"/>
</workbook>
</file>

<file path=xl/calcChain.xml><?xml version="1.0" encoding="utf-8"?>
<calcChain xmlns="http://schemas.openxmlformats.org/spreadsheetml/2006/main">
  <c r="K150" i="1" l="1"/>
  <c r="O165" i="1"/>
  <c r="P165" i="1" s="1"/>
  <c r="C268" i="2"/>
  <c r="F372" i="2"/>
  <c r="G372" i="2" s="1"/>
  <c r="C250" i="2"/>
  <c r="K27" i="1"/>
  <c r="C237" i="2" l="1"/>
  <c r="C255" i="2"/>
  <c r="K28" i="1"/>
  <c r="F325" i="1" l="1"/>
  <c r="F324" i="1"/>
  <c r="F322" i="1"/>
  <c r="F320" i="1"/>
  <c r="F321" i="1"/>
  <c r="F319" i="1"/>
  <c r="F323" i="1"/>
  <c r="F327" i="1"/>
  <c r="L325" i="1"/>
  <c r="H325" i="1" s="1"/>
  <c r="L324" i="1"/>
  <c r="H324" i="1" s="1"/>
  <c r="L323" i="1"/>
  <c r="H323" i="1" s="1"/>
  <c r="L322" i="1"/>
  <c r="H322" i="1" s="1"/>
  <c r="L321" i="1"/>
  <c r="H321" i="1" s="1"/>
  <c r="L320" i="1"/>
  <c r="H320" i="1" s="1"/>
  <c r="L319" i="1"/>
  <c r="H319" i="1" s="1"/>
  <c r="B322" i="1"/>
  <c r="B321" i="1"/>
  <c r="B320" i="1"/>
  <c r="B319" i="1"/>
  <c r="G366" i="2"/>
  <c r="G367" i="2"/>
  <c r="G368" i="2"/>
  <c r="G365" i="2"/>
  <c r="B325" i="1"/>
  <c r="B324" i="1"/>
  <c r="B323" i="1"/>
  <c r="G371" i="2"/>
  <c r="G370" i="2"/>
  <c r="G369" i="2"/>
  <c r="E369" i="2"/>
  <c r="D369" i="2"/>
  <c r="F375" i="2" l="1"/>
  <c r="C373" i="2"/>
  <c r="G373" i="2" s="1"/>
  <c r="C269" i="2"/>
  <c r="G245" i="2"/>
  <c r="H245" i="2" l="1"/>
  <c r="I241" i="2"/>
  <c r="I245" i="2" s="1"/>
  <c r="L252" i="1"/>
  <c r="L327" i="1"/>
  <c r="H327" i="1" s="1"/>
  <c r="L326" i="1"/>
  <c r="H326" i="1" s="1"/>
  <c r="B327" i="1"/>
  <c r="B326" i="1"/>
  <c r="B254" i="1"/>
  <c r="C376" i="2"/>
  <c r="L254" i="1" s="1"/>
  <c r="G269" i="2"/>
  <c r="K154" i="1"/>
  <c r="H154" i="1" s="1"/>
  <c r="B154" i="1"/>
  <c r="B268" i="2"/>
  <c r="G375" i="2"/>
  <c r="G374" i="2"/>
  <c r="F254" i="2"/>
  <c r="G254" i="2" s="1"/>
  <c r="K254" i="1" l="1"/>
  <c r="G376" i="2"/>
  <c r="F251" i="2" l="1"/>
  <c r="H150" i="1" s="1"/>
  <c r="B150" i="1"/>
  <c r="B69" i="1"/>
  <c r="K253" i="1"/>
  <c r="K129" i="1"/>
  <c r="H129" i="1" s="1"/>
  <c r="B129" i="1"/>
  <c r="K128" i="1"/>
  <c r="H128" i="1" s="1"/>
  <c r="B128" i="1"/>
  <c r="G244" i="2"/>
  <c r="G251" i="2" l="1"/>
  <c r="L27" i="1"/>
  <c r="L28" i="1"/>
  <c r="C226" i="2"/>
  <c r="F226" i="2" s="1"/>
  <c r="J226" i="2"/>
  <c r="J227" i="2" s="1"/>
  <c r="K30" i="1" l="1"/>
  <c r="C28" i="2"/>
  <c r="I22" i="2"/>
  <c r="I23" i="2" s="1"/>
  <c r="F28" i="2" l="1"/>
  <c r="G28" i="2" s="1"/>
  <c r="F250" i="2" l="1"/>
  <c r="M398" i="1" l="1"/>
  <c r="M241" i="1" l="1"/>
  <c r="F458" i="2"/>
  <c r="L41" i="1"/>
  <c r="K152" i="1"/>
  <c r="K151" i="1" l="1"/>
  <c r="H151" i="1" s="1"/>
  <c r="B152" i="1"/>
  <c r="B151" i="1"/>
  <c r="L68" i="1" l="1"/>
  <c r="H68" i="1" s="1"/>
  <c r="B68" i="1"/>
  <c r="B67" i="1"/>
  <c r="F350" i="2"/>
  <c r="G350" i="2" s="1"/>
  <c r="F252" i="2"/>
  <c r="G252" i="2" s="1"/>
  <c r="K153" i="1" l="1"/>
  <c r="K148" i="1"/>
  <c r="H148" i="1" s="1"/>
  <c r="K74" i="1"/>
  <c r="F249" i="2"/>
  <c r="G249" i="2" s="1"/>
  <c r="K72" i="1"/>
  <c r="K71" i="1"/>
  <c r="K70" i="1"/>
  <c r="K69" i="1"/>
  <c r="K67" i="1"/>
  <c r="K63" i="1"/>
  <c r="K62" i="1"/>
  <c r="K61" i="1"/>
  <c r="K131" i="1"/>
  <c r="K33" i="1"/>
  <c r="K149" i="1" l="1"/>
  <c r="C274" i="2" l="1"/>
  <c r="F274" i="2" s="1"/>
  <c r="G274" i="2" s="1"/>
  <c r="E38" i="14" l="1"/>
  <c r="K287" i="1"/>
  <c r="C300" i="2" s="1"/>
  <c r="F300" i="2" s="1"/>
  <c r="L377" i="1"/>
  <c r="C426" i="2" s="1"/>
  <c r="E124" i="14"/>
  <c r="G300" i="2" l="1"/>
  <c r="G307" i="1"/>
  <c r="C275" i="2" l="1"/>
  <c r="K262" i="1" s="1"/>
  <c r="H262" i="1" s="1"/>
  <c r="E131" i="14"/>
  <c r="L384" i="1" s="1"/>
  <c r="C433" i="2" s="1"/>
  <c r="E120" i="14"/>
  <c r="L373" i="1" s="1"/>
  <c r="C422" i="2" s="1"/>
  <c r="F422" i="2" s="1"/>
  <c r="G422" i="2" s="1"/>
  <c r="E117" i="14"/>
  <c r="E114" i="14"/>
  <c r="E102" i="14"/>
  <c r="E96" i="14"/>
  <c r="L349" i="1" s="1"/>
  <c r="E88" i="14"/>
  <c r="L342" i="1" s="1"/>
  <c r="E70" i="14"/>
  <c r="K317" i="1" s="1"/>
  <c r="E56" i="14"/>
  <c r="K304" i="1" s="1"/>
  <c r="C317" i="2" s="1"/>
  <c r="F317" i="2" s="1"/>
  <c r="G317" i="2" s="1"/>
  <c r="E46" i="14"/>
  <c r="K295" i="1" s="1"/>
  <c r="C308" i="2" s="1"/>
  <c r="F308" i="2" s="1"/>
  <c r="G308" i="2" s="1"/>
  <c r="E44" i="14"/>
  <c r="K293" i="1" s="1"/>
  <c r="C306" i="2" s="1"/>
  <c r="E30" i="14"/>
  <c r="H257" i="1"/>
  <c r="H258" i="1"/>
  <c r="C378" i="2" l="1"/>
  <c r="L329" i="1" s="1"/>
  <c r="C331" i="2"/>
  <c r="C377" i="2"/>
  <c r="F377" i="2" l="1"/>
  <c r="L328" i="1"/>
  <c r="K281" i="1"/>
  <c r="E32" i="14"/>
  <c r="E126" i="14"/>
  <c r="L379" i="1" s="1"/>
  <c r="C428" i="2" s="1"/>
  <c r="F428" i="2" s="1"/>
  <c r="G428" i="2" s="1"/>
  <c r="E82" i="14"/>
  <c r="L336" i="1" s="1"/>
  <c r="K278" i="1" l="1"/>
  <c r="K318" i="1"/>
  <c r="K273" i="1"/>
  <c r="G314" i="1"/>
  <c r="C310" i="2" l="1"/>
  <c r="K297" i="1" s="1"/>
  <c r="C327" i="2"/>
  <c r="K314" i="1" s="1"/>
  <c r="C273" i="2"/>
  <c r="C272" i="2"/>
  <c r="C271" i="2"/>
  <c r="C270" i="2"/>
  <c r="P389" i="1" l="1"/>
  <c r="O389" i="1"/>
  <c r="C264" i="2" l="1"/>
  <c r="D457" i="2" l="1"/>
  <c r="E457" i="2"/>
  <c r="O13" i="3" l="1"/>
  <c r="M396" i="1"/>
  <c r="H396" i="1" s="1"/>
  <c r="M395" i="1"/>
  <c r="H395" i="1" s="1"/>
  <c r="M394" i="1"/>
  <c r="H394" i="1" s="1"/>
  <c r="M393" i="1"/>
  <c r="H393" i="1" s="1"/>
  <c r="M392" i="1"/>
  <c r="H392" i="1" s="1"/>
  <c r="M391" i="1"/>
  <c r="H391" i="1" s="1"/>
  <c r="M390" i="1"/>
  <c r="H390" i="1" s="1"/>
  <c r="M389" i="1"/>
  <c r="H389" i="1" s="1"/>
  <c r="B390" i="1" l="1"/>
  <c r="B391" i="1"/>
  <c r="B392" i="1"/>
  <c r="B393" i="1"/>
  <c r="B394" i="1"/>
  <c r="B395" i="1"/>
  <c r="B396" i="1"/>
  <c r="B389" i="1"/>
  <c r="F473" i="2"/>
  <c r="G473" i="2" s="1"/>
  <c r="F472" i="2"/>
  <c r="G472" i="2" s="1"/>
  <c r="B279" i="1"/>
  <c r="B262" i="1"/>
  <c r="F465" i="2"/>
  <c r="F467" i="2"/>
  <c r="G467" i="2" s="1"/>
  <c r="F468" i="2"/>
  <c r="G468" i="2" s="1"/>
  <c r="F469" i="2"/>
  <c r="G469" i="2" s="1"/>
  <c r="F470" i="2"/>
  <c r="G470" i="2" s="1"/>
  <c r="F471" i="2"/>
  <c r="G471" i="2" s="1"/>
  <c r="F466" i="2"/>
  <c r="G466" i="2" s="1"/>
  <c r="K398" i="1" l="1"/>
  <c r="C349" i="2"/>
  <c r="L73" i="1" s="1"/>
  <c r="O74" i="1"/>
  <c r="O75" i="1" s="1"/>
  <c r="C229" i="2"/>
  <c r="K31" i="1"/>
  <c r="C227" i="2" s="1"/>
  <c r="F243" i="2"/>
  <c r="G243" i="2" s="1"/>
  <c r="H74" i="1"/>
  <c r="F74" i="1"/>
  <c r="K195" i="1"/>
  <c r="F158" i="1"/>
  <c r="F235" i="2"/>
  <c r="G235" i="2" s="1"/>
  <c r="F236" i="2"/>
  <c r="G236" i="2" s="1"/>
  <c r="F237" i="2"/>
  <c r="G237" i="2" s="1"/>
  <c r="F238" i="2"/>
  <c r="F239" i="2"/>
  <c r="F240" i="2"/>
  <c r="F241" i="2"/>
  <c r="F253" i="2"/>
  <c r="F242" i="2"/>
  <c r="F255" i="2"/>
  <c r="F246" i="2"/>
  <c r="F73" i="1"/>
  <c r="K60" i="1"/>
  <c r="C346" i="2"/>
  <c r="F346" i="2" s="1"/>
  <c r="G346" i="2" s="1"/>
  <c r="F348" i="2"/>
  <c r="G348" i="2" s="1"/>
  <c r="C347" i="2"/>
  <c r="F347" i="2" s="1"/>
  <c r="G347" i="2" s="1"/>
  <c r="H67" i="1"/>
  <c r="H61" i="1"/>
  <c r="H62" i="1"/>
  <c r="H63" i="1"/>
  <c r="F349" i="2" l="1"/>
  <c r="G349" i="2" s="1"/>
  <c r="G227" i="2"/>
  <c r="H73" i="1"/>
  <c r="L65" i="1"/>
  <c r="D133" i="14" l="1"/>
  <c r="L274" i="2" l="1"/>
  <c r="L271" i="2"/>
  <c r="L273" i="2"/>
  <c r="L270" i="2"/>
  <c r="L275" i="2" l="1"/>
  <c r="O254" i="1"/>
  <c r="O253" i="1"/>
  <c r="C219" i="2"/>
  <c r="F220" i="2"/>
  <c r="G220" i="2" s="1"/>
  <c r="H254" i="1"/>
  <c r="G387" i="1"/>
  <c r="G386" i="1"/>
  <c r="F387" i="1"/>
  <c r="F386" i="1"/>
  <c r="M387" i="1"/>
  <c r="H387" i="1" s="1"/>
  <c r="M386" i="1"/>
  <c r="H386" i="1" s="1"/>
  <c r="F256" i="1"/>
  <c r="F255" i="1"/>
  <c r="G256" i="1"/>
  <c r="G255" i="1"/>
  <c r="M256" i="1"/>
  <c r="H256" i="1" s="1"/>
  <c r="M255" i="1"/>
  <c r="H255" i="1" s="1"/>
  <c r="E132" i="14"/>
  <c r="M38" i="1"/>
  <c r="M388" i="1" l="1"/>
  <c r="H388" i="1" s="1"/>
  <c r="F388" i="1"/>
  <c r="G388" i="1"/>
  <c r="I20" i="3" s="1"/>
  <c r="G464" i="2"/>
  <c r="H152" i="1"/>
  <c r="H72" i="1"/>
  <c r="H153" i="1"/>
  <c r="J249" i="2"/>
  <c r="K59" i="1"/>
  <c r="H59" i="1" s="1"/>
  <c r="K58" i="1"/>
  <c r="K41" i="1" l="1"/>
  <c r="H58" i="1"/>
  <c r="I221" i="2"/>
  <c r="H70" i="1" l="1"/>
  <c r="H71" i="1"/>
  <c r="B346" i="2"/>
  <c r="H60" i="1"/>
  <c r="H64" i="1"/>
  <c r="H65" i="1"/>
  <c r="H66" i="1"/>
  <c r="H69" i="1"/>
  <c r="H149" i="1"/>
  <c r="L280" i="2" l="1"/>
  <c r="C222" i="2" l="1"/>
  <c r="F222" i="2" s="1"/>
  <c r="C223" i="2" l="1"/>
  <c r="G222" i="2"/>
  <c r="C233" i="2"/>
  <c r="C232" i="2"/>
  <c r="D231" i="2"/>
  <c r="E231" i="2"/>
  <c r="B233" i="2"/>
  <c r="B232" i="2"/>
  <c r="C217" i="2" l="1"/>
  <c r="F217" i="2" s="1"/>
  <c r="F232" i="2"/>
  <c r="F233" i="2"/>
  <c r="G233" i="2" s="1"/>
  <c r="G232" i="2" l="1"/>
  <c r="F272" i="2" l="1"/>
  <c r="G272" i="2" s="1"/>
  <c r="F270" i="2"/>
  <c r="G270" i="2" s="1"/>
  <c r="I216" i="2"/>
  <c r="I215" i="2" s="1"/>
  <c r="K34" i="1"/>
  <c r="F275" i="2" l="1"/>
  <c r="G275" i="2" s="1"/>
  <c r="F273" i="2"/>
  <c r="G273" i="2" s="1"/>
  <c r="F271" i="2"/>
  <c r="G271" i="2" s="1"/>
  <c r="J190" i="2" l="1"/>
  <c r="J191" i="2"/>
  <c r="L192" i="2"/>
  <c r="O262" i="1"/>
  <c r="O263" i="1" s="1"/>
  <c r="D216" i="2"/>
  <c r="E216" i="2"/>
  <c r="C230" i="2"/>
  <c r="B230" i="2"/>
  <c r="O159" i="1"/>
  <c r="K238" i="1"/>
  <c r="C266" i="2"/>
  <c r="C265" i="2" s="1"/>
  <c r="D265" i="2"/>
  <c r="E265" i="2"/>
  <c r="F265" i="2"/>
  <c r="G265" i="2"/>
  <c r="B266" i="2"/>
  <c r="B265" i="2"/>
  <c r="D263" i="2"/>
  <c r="E263" i="2"/>
  <c r="F263" i="2"/>
  <c r="G263" i="2"/>
  <c r="D267" i="2"/>
  <c r="E267" i="2"/>
  <c r="C332" i="2"/>
  <c r="G332" i="2" s="1"/>
  <c r="B332" i="2"/>
  <c r="B227" i="2"/>
  <c r="H31" i="1"/>
  <c r="D437" i="2"/>
  <c r="E437" i="2"/>
  <c r="C437" i="2"/>
  <c r="F438" i="2"/>
  <c r="F439" i="2"/>
  <c r="F440" i="2"/>
  <c r="F441" i="2"/>
  <c r="C463" i="2"/>
  <c r="F463" i="2" s="1"/>
  <c r="C462" i="2"/>
  <c r="F462" i="2" s="1"/>
  <c r="B462" i="2"/>
  <c r="B463" i="2"/>
  <c r="G465" i="2"/>
  <c r="C464" i="2"/>
  <c r="F464" i="2" s="1"/>
  <c r="B465" i="2"/>
  <c r="B464" i="2"/>
  <c r="C459" i="2"/>
  <c r="F459" i="2" s="1"/>
  <c r="B474" i="2"/>
  <c r="B460" i="2"/>
  <c r="B461" i="2"/>
  <c r="C201" i="2"/>
  <c r="C202" i="2"/>
  <c r="F202" i="2" s="1"/>
  <c r="G202" i="2" s="1"/>
  <c r="C203" i="2"/>
  <c r="C204" i="2"/>
  <c r="F204" i="2" s="1"/>
  <c r="G204" i="2" s="1"/>
  <c r="C205" i="2"/>
  <c r="C193" i="2"/>
  <c r="D88" i="2"/>
  <c r="E88" i="2"/>
  <c r="F88" i="2"/>
  <c r="G88" i="2"/>
  <c r="F230" i="2" l="1"/>
  <c r="G230" i="2" s="1"/>
  <c r="C263" i="2"/>
  <c r="K230" i="1" s="1"/>
  <c r="F437" i="2"/>
  <c r="C461" i="2"/>
  <c r="F461" i="2" s="1"/>
  <c r="G462" i="2"/>
  <c r="G463" i="2"/>
  <c r="C460" i="2"/>
  <c r="G459" i="2"/>
  <c r="F205" i="2"/>
  <c r="G205" i="2" s="1"/>
  <c r="F203" i="2"/>
  <c r="G203" i="2" s="1"/>
  <c r="F201" i="2"/>
  <c r="G201" i="2" s="1"/>
  <c r="F460" i="2" l="1"/>
  <c r="G460" i="2" s="1"/>
  <c r="G461" i="2"/>
  <c r="B214" i="2"/>
  <c r="B213" i="2"/>
  <c r="G379" i="1"/>
  <c r="F379" i="1" s="1"/>
  <c r="G380" i="1"/>
  <c r="F380" i="1" s="1"/>
  <c r="G381" i="1"/>
  <c r="F381" i="1" s="1"/>
  <c r="G382" i="1"/>
  <c r="F382" i="1" s="1"/>
  <c r="G383" i="1"/>
  <c r="F383" i="1" s="1"/>
  <c r="G384" i="1"/>
  <c r="F384" i="1" s="1"/>
  <c r="G385" i="1"/>
  <c r="F385" i="1" s="1"/>
  <c r="B384" i="1"/>
  <c r="B433" i="2" s="1"/>
  <c r="B385" i="1"/>
  <c r="B434" i="2" s="1"/>
  <c r="B379" i="1"/>
  <c r="B428" i="2" s="1"/>
  <c r="B380" i="1"/>
  <c r="B429" i="2" s="1"/>
  <c r="B381" i="1"/>
  <c r="B430" i="2" s="1"/>
  <c r="B382" i="1"/>
  <c r="B431" i="2" s="1"/>
  <c r="B383" i="1"/>
  <c r="B432" i="2" s="1"/>
  <c r="G368" i="1"/>
  <c r="F368" i="1" s="1"/>
  <c r="G369" i="1"/>
  <c r="F369" i="1" s="1"/>
  <c r="G370" i="1"/>
  <c r="F370" i="1" s="1"/>
  <c r="G371" i="1"/>
  <c r="F371" i="1" s="1"/>
  <c r="G372" i="1"/>
  <c r="F372" i="1" s="1"/>
  <c r="G373" i="1"/>
  <c r="F373" i="1" s="1"/>
  <c r="G374" i="1"/>
  <c r="F374" i="1" s="1"/>
  <c r="G375" i="1"/>
  <c r="F375" i="1" s="1"/>
  <c r="G376" i="1"/>
  <c r="F376" i="1" s="1"/>
  <c r="G377" i="1"/>
  <c r="F377" i="1" s="1"/>
  <c r="G378" i="1"/>
  <c r="F378" i="1" s="1"/>
  <c r="B377" i="1"/>
  <c r="B426" i="2" s="1"/>
  <c r="B378" i="1"/>
  <c r="B427" i="2" s="1"/>
  <c r="B374" i="1"/>
  <c r="B423" i="2" s="1"/>
  <c r="B375" i="1"/>
  <c r="B424" i="2" s="1"/>
  <c r="B376" i="1"/>
  <c r="B425" i="2" s="1"/>
  <c r="B368" i="1"/>
  <c r="B417" i="2" s="1"/>
  <c r="B369" i="1"/>
  <c r="B418" i="2" s="1"/>
  <c r="B370" i="1"/>
  <c r="B419" i="2" s="1"/>
  <c r="B371" i="1"/>
  <c r="B420" i="2" s="1"/>
  <c r="B372" i="1"/>
  <c r="B421" i="2" s="1"/>
  <c r="B373" i="1"/>
  <c r="B422" i="2" s="1"/>
  <c r="G356" i="1"/>
  <c r="F356" i="1" s="1"/>
  <c r="G357" i="1"/>
  <c r="F357" i="1" s="1"/>
  <c r="G358" i="1"/>
  <c r="F358" i="1" s="1"/>
  <c r="G359" i="1"/>
  <c r="F359" i="1" s="1"/>
  <c r="G360" i="1"/>
  <c r="F360" i="1" s="1"/>
  <c r="G361" i="1"/>
  <c r="F361" i="1" s="1"/>
  <c r="G362" i="1"/>
  <c r="F362" i="1" s="1"/>
  <c r="G363" i="1"/>
  <c r="F363" i="1" s="1"/>
  <c r="G364" i="1"/>
  <c r="F364" i="1" s="1"/>
  <c r="G365" i="1"/>
  <c r="F365" i="1" s="1"/>
  <c r="G366" i="1"/>
  <c r="F366" i="1" s="1"/>
  <c r="G367" i="1"/>
  <c r="F367" i="1" s="1"/>
  <c r="B363" i="1"/>
  <c r="B412" i="2" s="1"/>
  <c r="B364" i="1"/>
  <c r="B413" i="2" s="1"/>
  <c r="B365" i="1"/>
  <c r="B414" i="2" s="1"/>
  <c r="B366" i="1"/>
  <c r="B415" i="2" s="1"/>
  <c r="B367" i="1"/>
  <c r="B416" i="2" s="1"/>
  <c r="B360" i="1"/>
  <c r="B409" i="2" s="1"/>
  <c r="B361" i="1"/>
  <c r="B410" i="2" s="1"/>
  <c r="B362" i="1"/>
  <c r="B411" i="2" s="1"/>
  <c r="B356" i="1"/>
  <c r="B405" i="2" s="1"/>
  <c r="B357" i="1"/>
  <c r="B406" i="2" s="1"/>
  <c r="B358" i="1"/>
  <c r="B407" i="2" s="1"/>
  <c r="B359" i="1"/>
  <c r="B408" i="2" s="1"/>
  <c r="G346" i="1"/>
  <c r="F346" i="1" s="1"/>
  <c r="G347" i="1"/>
  <c r="F347" i="1" s="1"/>
  <c r="G348" i="1"/>
  <c r="F348" i="1" s="1"/>
  <c r="G349" i="1"/>
  <c r="F349" i="1" s="1"/>
  <c r="G350" i="1"/>
  <c r="F350" i="1" s="1"/>
  <c r="G351" i="1"/>
  <c r="F351" i="1" s="1"/>
  <c r="G352" i="1"/>
  <c r="F352" i="1" s="1"/>
  <c r="G353" i="1"/>
  <c r="F353" i="1" s="1"/>
  <c r="G354" i="1"/>
  <c r="F354" i="1" s="1"/>
  <c r="G355" i="1"/>
  <c r="F355" i="1" s="1"/>
  <c r="B350" i="1"/>
  <c r="B399" i="2" s="1"/>
  <c r="B351" i="1"/>
  <c r="B400" i="2" s="1"/>
  <c r="B352" i="1"/>
  <c r="B401" i="2" s="1"/>
  <c r="B353" i="1"/>
  <c r="B402" i="2" s="1"/>
  <c r="B354" i="1"/>
  <c r="B403" i="2" s="1"/>
  <c r="B355" i="1"/>
  <c r="B404" i="2" s="1"/>
  <c r="B346" i="1"/>
  <c r="B395" i="2" s="1"/>
  <c r="B347" i="1"/>
  <c r="B396" i="2" s="1"/>
  <c r="B348" i="1"/>
  <c r="B397" i="2" s="1"/>
  <c r="B349" i="1"/>
  <c r="B398" i="2" s="1"/>
  <c r="G339" i="1"/>
  <c r="F339" i="1" s="1"/>
  <c r="G340" i="1"/>
  <c r="F340" i="1" s="1"/>
  <c r="G341" i="1"/>
  <c r="F341" i="1" s="1"/>
  <c r="G342" i="1"/>
  <c r="F342" i="1" s="1"/>
  <c r="G343" i="1"/>
  <c r="F343" i="1" s="1"/>
  <c r="G344" i="1"/>
  <c r="F344" i="1" s="1"/>
  <c r="G345" i="1"/>
  <c r="F345" i="1" s="1"/>
  <c r="B339" i="1"/>
  <c r="B388" i="2" s="1"/>
  <c r="B340" i="1"/>
  <c r="B389" i="2" s="1"/>
  <c r="B341" i="1"/>
  <c r="B390" i="2" s="1"/>
  <c r="B342" i="1"/>
  <c r="B391" i="2" s="1"/>
  <c r="B343" i="1"/>
  <c r="B392" i="2" s="1"/>
  <c r="B344" i="1"/>
  <c r="B393" i="2" s="1"/>
  <c r="B345" i="1"/>
  <c r="B394" i="2" s="1"/>
  <c r="G329" i="1"/>
  <c r="F329" i="1" s="1"/>
  <c r="G330" i="1"/>
  <c r="F330" i="1" s="1"/>
  <c r="G331" i="1"/>
  <c r="F331" i="1" s="1"/>
  <c r="F332" i="1"/>
  <c r="G333" i="1"/>
  <c r="F333" i="1" s="1"/>
  <c r="G334" i="1"/>
  <c r="F334" i="1" s="1"/>
  <c r="G335" i="1"/>
  <c r="F335" i="1" s="1"/>
  <c r="G336" i="1"/>
  <c r="F336" i="1" s="1"/>
  <c r="G337" i="1"/>
  <c r="F337" i="1" s="1"/>
  <c r="G338" i="1"/>
  <c r="F338" i="1" s="1"/>
  <c r="G328" i="1"/>
  <c r="B330" i="1"/>
  <c r="B379" i="2" s="1"/>
  <c r="B331" i="1"/>
  <c r="B380" i="2" s="1"/>
  <c r="B332" i="1"/>
  <c r="B381" i="2" s="1"/>
  <c r="B333" i="1"/>
  <c r="B382" i="2" s="1"/>
  <c r="B334" i="1"/>
  <c r="B383" i="2" s="1"/>
  <c r="B335" i="1"/>
  <c r="B384" i="2" s="1"/>
  <c r="B336" i="1"/>
  <c r="B385" i="2" s="1"/>
  <c r="B337" i="1"/>
  <c r="B386" i="2" s="1"/>
  <c r="B338" i="1"/>
  <c r="B387" i="2" s="1"/>
  <c r="G264" i="1"/>
  <c r="F264" i="1" s="1"/>
  <c r="F265" i="1"/>
  <c r="G266" i="1"/>
  <c r="F266" i="1" s="1"/>
  <c r="G267" i="1"/>
  <c r="F267" i="1" s="1"/>
  <c r="G268" i="1"/>
  <c r="F268" i="1" s="1"/>
  <c r="F269" i="1"/>
  <c r="G270" i="1"/>
  <c r="F270" i="1" s="1"/>
  <c r="G271" i="1"/>
  <c r="F271" i="1" s="1"/>
  <c r="F272" i="1"/>
  <c r="F273" i="1"/>
  <c r="F274" i="1"/>
  <c r="F275" i="1"/>
  <c r="G276" i="1"/>
  <c r="F276" i="1" s="1"/>
  <c r="F277" i="1"/>
  <c r="F278" i="1"/>
  <c r="G279" i="1"/>
  <c r="F279" i="1" s="1"/>
  <c r="F280" i="1"/>
  <c r="G281" i="1"/>
  <c r="F281" i="1" s="1"/>
  <c r="G282" i="1"/>
  <c r="F282" i="1" s="1"/>
  <c r="G283" i="1"/>
  <c r="F283" i="1" s="1"/>
  <c r="G284" i="1"/>
  <c r="F284" i="1" s="1"/>
  <c r="G285" i="1"/>
  <c r="F285" i="1" s="1"/>
  <c r="F286" i="1"/>
  <c r="G287" i="1"/>
  <c r="F287" i="1" s="1"/>
  <c r="G288" i="1"/>
  <c r="F288" i="1" s="1"/>
  <c r="G289" i="1"/>
  <c r="F289" i="1" s="1"/>
  <c r="F290" i="1"/>
  <c r="G291" i="1"/>
  <c r="F291" i="1" s="1"/>
  <c r="G292" i="1"/>
  <c r="F292" i="1" s="1"/>
  <c r="F293" i="1"/>
  <c r="G294" i="1"/>
  <c r="F294" i="1" s="1"/>
  <c r="G295" i="1"/>
  <c r="F295" i="1" s="1"/>
  <c r="G296" i="1"/>
  <c r="F296" i="1" s="1"/>
  <c r="F297" i="1"/>
  <c r="F298" i="1"/>
  <c r="G299" i="1"/>
  <c r="F299" i="1" s="1"/>
  <c r="F300" i="1"/>
  <c r="G301" i="1"/>
  <c r="F301" i="1" s="1"/>
  <c r="G302" i="1"/>
  <c r="F302" i="1" s="1"/>
  <c r="F303" i="1"/>
  <c r="G304" i="1"/>
  <c r="F304" i="1" s="1"/>
  <c r="F305" i="1"/>
  <c r="F306" i="1"/>
  <c r="F307" i="1"/>
  <c r="F308" i="1"/>
  <c r="F309" i="1"/>
  <c r="G310" i="1"/>
  <c r="F310" i="1" s="1"/>
  <c r="G311" i="1"/>
  <c r="F311" i="1" s="1"/>
  <c r="G312" i="1"/>
  <c r="F312" i="1" s="1"/>
  <c r="G313" i="1"/>
  <c r="F313" i="1" s="1"/>
  <c r="F314" i="1"/>
  <c r="F315" i="1"/>
  <c r="F316" i="1"/>
  <c r="F317" i="1"/>
  <c r="G318" i="1"/>
  <c r="F318" i="1" s="1"/>
  <c r="B315" i="1"/>
  <c r="B328" i="2" s="1"/>
  <c r="B316" i="1"/>
  <c r="B329" i="2" s="1"/>
  <c r="B317" i="1"/>
  <c r="B330" i="2" s="1"/>
  <c r="B318" i="1"/>
  <c r="B331" i="2" s="1"/>
  <c r="B328" i="1"/>
  <c r="B377" i="2" s="1"/>
  <c r="B329" i="1"/>
  <c r="B378" i="2" s="1"/>
  <c r="B304" i="1"/>
  <c r="B317" i="2" s="1"/>
  <c r="B305" i="1"/>
  <c r="B318" i="2" s="1"/>
  <c r="B306" i="1"/>
  <c r="B319" i="2" s="1"/>
  <c r="B307" i="1"/>
  <c r="B320" i="2" s="1"/>
  <c r="B308" i="1"/>
  <c r="B321" i="2" s="1"/>
  <c r="B309" i="1"/>
  <c r="B322" i="2" s="1"/>
  <c r="B310" i="1"/>
  <c r="B323" i="2" s="1"/>
  <c r="B311" i="1"/>
  <c r="B324" i="2" s="1"/>
  <c r="B312" i="1"/>
  <c r="B325" i="2" s="1"/>
  <c r="B313" i="1"/>
  <c r="B326" i="2" s="1"/>
  <c r="B314" i="1"/>
  <c r="B327" i="2" s="1"/>
  <c r="B298" i="1"/>
  <c r="B311" i="2" s="1"/>
  <c r="B299" i="1"/>
  <c r="B312" i="2" s="1"/>
  <c r="B300" i="1"/>
  <c r="B313" i="2" s="1"/>
  <c r="B301" i="1"/>
  <c r="B314" i="2" s="1"/>
  <c r="B302" i="1"/>
  <c r="B315" i="2" s="1"/>
  <c r="B303" i="1"/>
  <c r="B316" i="2" s="1"/>
  <c r="B295" i="1"/>
  <c r="B308" i="2" s="1"/>
  <c r="B296" i="1"/>
  <c r="B309" i="2" s="1"/>
  <c r="B297" i="1"/>
  <c r="B310" i="2" s="1"/>
  <c r="B289" i="1"/>
  <c r="B302" i="2" s="1"/>
  <c r="B290" i="1"/>
  <c r="B303" i="2" s="1"/>
  <c r="B291" i="1"/>
  <c r="B304" i="2" s="1"/>
  <c r="B292" i="1"/>
  <c r="B305" i="2" s="1"/>
  <c r="B293" i="1"/>
  <c r="B306" i="2" s="1"/>
  <c r="B294" i="1"/>
  <c r="B307" i="2" s="1"/>
  <c r="B283" i="1"/>
  <c r="B296" i="2" s="1"/>
  <c r="B284" i="1"/>
  <c r="B297" i="2" s="1"/>
  <c r="B285" i="1"/>
  <c r="B298" i="2" s="1"/>
  <c r="B286" i="1"/>
  <c r="B299" i="2" s="1"/>
  <c r="B287" i="1"/>
  <c r="B300" i="2" s="1"/>
  <c r="B288" i="1"/>
  <c r="B301" i="2" s="1"/>
  <c r="B275" i="1"/>
  <c r="B288" i="2" s="1"/>
  <c r="B276" i="1"/>
  <c r="B289" i="2" s="1"/>
  <c r="B277" i="1"/>
  <c r="B290" i="2" s="1"/>
  <c r="B278" i="1"/>
  <c r="B291" i="2" s="1"/>
  <c r="B292" i="2"/>
  <c r="B280" i="1"/>
  <c r="B293" i="2" s="1"/>
  <c r="B281" i="1"/>
  <c r="B294" i="2" s="1"/>
  <c r="B282" i="1"/>
  <c r="B295" i="2" s="1"/>
  <c r="B264" i="1"/>
  <c r="B277" i="2" s="1"/>
  <c r="B265" i="1"/>
  <c r="B278" i="2" s="1"/>
  <c r="B266" i="1"/>
  <c r="B279" i="2" s="1"/>
  <c r="B267" i="1"/>
  <c r="B280" i="2" s="1"/>
  <c r="B268" i="1"/>
  <c r="B281" i="2" s="1"/>
  <c r="B269" i="1"/>
  <c r="B282" i="2" s="1"/>
  <c r="B270" i="1"/>
  <c r="B283" i="2" s="1"/>
  <c r="B271" i="1"/>
  <c r="B284" i="2" s="1"/>
  <c r="B272" i="1"/>
  <c r="B285" i="2" s="1"/>
  <c r="B273" i="1"/>
  <c r="B286" i="2" s="1"/>
  <c r="B274" i="1"/>
  <c r="B287" i="2" s="1"/>
  <c r="B263" i="1"/>
  <c r="B276" i="2" s="1"/>
  <c r="C208" i="2"/>
  <c r="H259" i="1"/>
  <c r="H260" i="1"/>
  <c r="H261" i="1"/>
  <c r="F258" i="1"/>
  <c r="F259" i="1"/>
  <c r="G260" i="1"/>
  <c r="F260" i="1" s="1"/>
  <c r="G261" i="1"/>
  <c r="F261" i="1" s="1"/>
  <c r="F262" i="1"/>
  <c r="G257" i="1"/>
  <c r="F257" i="1" s="1"/>
  <c r="B261" i="1"/>
  <c r="B258" i="1"/>
  <c r="B259" i="1"/>
  <c r="B260" i="1"/>
  <c r="B257" i="1"/>
  <c r="D262" i="2"/>
  <c r="C260" i="2"/>
  <c r="H20" i="3" l="1"/>
  <c r="B210" i="2"/>
  <c r="B273" i="2"/>
  <c r="B208" i="2"/>
  <c r="B271" i="2"/>
  <c r="B211" i="2"/>
  <c r="B274" i="2"/>
  <c r="B207" i="2"/>
  <c r="B270" i="2"/>
  <c r="B209" i="2"/>
  <c r="B272" i="2"/>
  <c r="B275" i="2"/>
  <c r="F263" i="1"/>
  <c r="F328" i="1"/>
  <c r="C207" i="2"/>
  <c r="F207" i="2" s="1"/>
  <c r="G207" i="2" s="1"/>
  <c r="C211" i="2"/>
  <c r="F211" i="2" s="1"/>
  <c r="G211" i="2" s="1"/>
  <c r="C209" i="2"/>
  <c r="F209" i="2" s="1"/>
  <c r="G209" i="2" s="1"/>
  <c r="C212" i="2"/>
  <c r="F212" i="2" s="1"/>
  <c r="G212" i="2" s="1"/>
  <c r="C210" i="2"/>
  <c r="F210" i="2" s="1"/>
  <c r="G210" i="2" s="1"/>
  <c r="F208" i="2"/>
  <c r="G208" i="2" s="1"/>
  <c r="D72" i="14"/>
  <c r="E20" i="14"/>
  <c r="K269" i="1" s="1"/>
  <c r="E24" i="14"/>
  <c r="F286" i="2" s="1"/>
  <c r="G286" i="2" s="1"/>
  <c r="L385" i="1"/>
  <c r="C434" i="2" s="1"/>
  <c r="F434" i="2" s="1"/>
  <c r="G434" i="2" s="1"/>
  <c r="E130" i="14"/>
  <c r="L383" i="1" s="1"/>
  <c r="C432" i="2" s="1"/>
  <c r="F432" i="2" s="1"/>
  <c r="G432" i="2" s="1"/>
  <c r="E129" i="14"/>
  <c r="L382" i="1" s="1"/>
  <c r="C431" i="2" s="1"/>
  <c r="F431" i="2" s="1"/>
  <c r="G431" i="2" s="1"/>
  <c r="E128" i="14"/>
  <c r="L381" i="1" s="1"/>
  <c r="C430" i="2" s="1"/>
  <c r="F430" i="2" s="1"/>
  <c r="G430" i="2" s="1"/>
  <c r="E127" i="14"/>
  <c r="L380" i="1" s="1"/>
  <c r="C429" i="2" s="1"/>
  <c r="E125" i="14"/>
  <c r="L378" i="1" s="1"/>
  <c r="C427" i="2" s="1"/>
  <c r="F427" i="2" s="1"/>
  <c r="G427" i="2" s="1"/>
  <c r="F426" i="2"/>
  <c r="G426" i="2" s="1"/>
  <c r="E123" i="14"/>
  <c r="L376" i="1" s="1"/>
  <c r="C425" i="2" s="1"/>
  <c r="E122" i="14"/>
  <c r="L375" i="1" s="1"/>
  <c r="C424" i="2" s="1"/>
  <c r="F424" i="2" s="1"/>
  <c r="G424" i="2" s="1"/>
  <c r="E121" i="14"/>
  <c r="L374" i="1" s="1"/>
  <c r="C423" i="2" s="1"/>
  <c r="F423" i="2" s="1"/>
  <c r="G423" i="2" s="1"/>
  <c r="E119" i="14"/>
  <c r="L372" i="1" s="1"/>
  <c r="H372" i="1" s="1"/>
  <c r="E118" i="14"/>
  <c r="L371" i="1" s="1"/>
  <c r="C420" i="2" s="1"/>
  <c r="F420" i="2" s="1"/>
  <c r="G420" i="2" s="1"/>
  <c r="L370" i="1"/>
  <c r="H370" i="1" s="1"/>
  <c r="E116" i="14"/>
  <c r="L369" i="1" s="1"/>
  <c r="C418" i="2" s="1"/>
  <c r="F418" i="2" s="1"/>
  <c r="G418" i="2" s="1"/>
  <c r="E115" i="14"/>
  <c r="L368" i="1" s="1"/>
  <c r="H368" i="1" s="1"/>
  <c r="L367" i="1"/>
  <c r="C416" i="2" s="1"/>
  <c r="E113" i="14"/>
  <c r="L366" i="1" s="1"/>
  <c r="H366" i="1" s="1"/>
  <c r="E112" i="14"/>
  <c r="L365" i="1" s="1"/>
  <c r="C414" i="2" s="1"/>
  <c r="F414" i="2" s="1"/>
  <c r="G414" i="2" s="1"/>
  <c r="E111" i="14"/>
  <c r="L364" i="1" s="1"/>
  <c r="H364" i="1" s="1"/>
  <c r="E110" i="14"/>
  <c r="L363" i="1" s="1"/>
  <c r="C412" i="2" s="1"/>
  <c r="F412" i="2" s="1"/>
  <c r="G412" i="2" s="1"/>
  <c r="E109" i="14"/>
  <c r="L362" i="1" s="1"/>
  <c r="H362" i="1" s="1"/>
  <c r="E108" i="14"/>
  <c r="L361" i="1" s="1"/>
  <c r="C410" i="2" s="1"/>
  <c r="F410" i="2" s="1"/>
  <c r="G410" i="2" s="1"/>
  <c r="E107" i="14"/>
  <c r="L360" i="1" s="1"/>
  <c r="H360" i="1" s="1"/>
  <c r="E106" i="14"/>
  <c r="L359" i="1" s="1"/>
  <c r="C408" i="2" s="1"/>
  <c r="F408" i="2" s="1"/>
  <c r="G408" i="2" s="1"/>
  <c r="E105" i="14"/>
  <c r="L358" i="1" s="1"/>
  <c r="H358" i="1" s="1"/>
  <c r="E104" i="14"/>
  <c r="L357" i="1" s="1"/>
  <c r="C406" i="2" s="1"/>
  <c r="F406" i="2" s="1"/>
  <c r="G406" i="2" s="1"/>
  <c r="E103" i="14"/>
  <c r="L356" i="1" s="1"/>
  <c r="H356" i="1" s="1"/>
  <c r="L355" i="1"/>
  <c r="C404" i="2" s="1"/>
  <c r="E101" i="14"/>
  <c r="L354" i="1" s="1"/>
  <c r="H354" i="1" s="1"/>
  <c r="E100" i="14"/>
  <c r="L353" i="1" s="1"/>
  <c r="C402" i="2" s="1"/>
  <c r="F402" i="2" s="1"/>
  <c r="G402" i="2" s="1"/>
  <c r="E99" i="14"/>
  <c r="L352" i="1" s="1"/>
  <c r="H352" i="1" s="1"/>
  <c r="E98" i="14"/>
  <c r="L351" i="1" s="1"/>
  <c r="C400" i="2" s="1"/>
  <c r="F400" i="2" s="1"/>
  <c r="G400" i="2" s="1"/>
  <c r="E97" i="14"/>
  <c r="L350" i="1" s="1"/>
  <c r="C399" i="2" s="1"/>
  <c r="F399" i="2" s="1"/>
  <c r="G399" i="2" s="1"/>
  <c r="C398" i="2"/>
  <c r="E95" i="14"/>
  <c r="L348" i="1" s="1"/>
  <c r="C397" i="2" s="1"/>
  <c r="E94" i="14"/>
  <c r="L347" i="1" s="1"/>
  <c r="C396" i="2" s="1"/>
  <c r="F396" i="2" s="1"/>
  <c r="G396" i="2" s="1"/>
  <c r="E92" i="14"/>
  <c r="L346" i="1" s="1"/>
  <c r="C395" i="2" s="1"/>
  <c r="F395" i="2" s="1"/>
  <c r="G395" i="2" s="1"/>
  <c r="E91" i="14"/>
  <c r="L345" i="1" s="1"/>
  <c r="C394" i="2" s="1"/>
  <c r="E90" i="14"/>
  <c r="L344" i="1" s="1"/>
  <c r="C393" i="2" s="1"/>
  <c r="F393" i="2" s="1"/>
  <c r="G393" i="2" s="1"/>
  <c r="E89" i="14"/>
  <c r="L343" i="1" s="1"/>
  <c r="C392" i="2" s="1"/>
  <c r="F392" i="2" s="1"/>
  <c r="G392" i="2" s="1"/>
  <c r="C391" i="2"/>
  <c r="E87" i="14"/>
  <c r="L341" i="1" s="1"/>
  <c r="C390" i="2" s="1"/>
  <c r="E86" i="14"/>
  <c r="L340" i="1" s="1"/>
  <c r="C389" i="2" s="1"/>
  <c r="F389" i="2" s="1"/>
  <c r="G389" i="2" s="1"/>
  <c r="E85" i="14"/>
  <c r="L339" i="1" s="1"/>
  <c r="C388" i="2" s="1"/>
  <c r="F388" i="2" s="1"/>
  <c r="G388" i="2" s="1"/>
  <c r="E84" i="14"/>
  <c r="L338" i="1" s="1"/>
  <c r="C387" i="2" s="1"/>
  <c r="F387" i="2" s="1"/>
  <c r="G387" i="2" s="1"/>
  <c r="E83" i="14"/>
  <c r="L337" i="1" s="1"/>
  <c r="C386" i="2" s="1"/>
  <c r="C385" i="2"/>
  <c r="E81" i="14"/>
  <c r="L335" i="1" s="1"/>
  <c r="C384" i="2" s="1"/>
  <c r="F384" i="2" s="1"/>
  <c r="G384" i="2" s="1"/>
  <c r="E80" i="14"/>
  <c r="L334" i="1" s="1"/>
  <c r="C383" i="2" s="1"/>
  <c r="F383" i="2" s="1"/>
  <c r="G383" i="2" s="1"/>
  <c r="E79" i="14"/>
  <c r="L333" i="1" s="1"/>
  <c r="C382" i="2" s="1"/>
  <c r="E78" i="14"/>
  <c r="L332" i="1" s="1"/>
  <c r="C381" i="2" s="1"/>
  <c r="F381" i="2" s="1"/>
  <c r="G381" i="2" s="1"/>
  <c r="E77" i="14"/>
  <c r="L331" i="1" s="1"/>
  <c r="C380" i="2" s="1"/>
  <c r="F380" i="2" s="1"/>
  <c r="G380" i="2" s="1"/>
  <c r="E76" i="14"/>
  <c r="E71" i="14"/>
  <c r="E69" i="14"/>
  <c r="K316" i="1" s="1"/>
  <c r="C329" i="2" s="1"/>
  <c r="F329" i="2" s="1"/>
  <c r="G329" i="2" s="1"/>
  <c r="E68" i="14"/>
  <c r="K315" i="1" s="1"/>
  <c r="C328" i="2" s="1"/>
  <c r="E67" i="14"/>
  <c r="E66" i="14"/>
  <c r="E65" i="14"/>
  <c r="K313" i="1" s="1"/>
  <c r="C326" i="2" s="1"/>
  <c r="F326" i="2" s="1"/>
  <c r="G326" i="2" s="1"/>
  <c r="E64" i="14"/>
  <c r="K312" i="1" s="1"/>
  <c r="C325" i="2" s="1"/>
  <c r="E63" i="14"/>
  <c r="K311" i="1" s="1"/>
  <c r="C324" i="2" s="1"/>
  <c r="F324" i="2" s="1"/>
  <c r="G324" i="2" s="1"/>
  <c r="E62" i="14"/>
  <c r="K310" i="1" s="1"/>
  <c r="C323" i="2" s="1"/>
  <c r="F323" i="2" s="1"/>
  <c r="G323" i="2" s="1"/>
  <c r="E61" i="14"/>
  <c r="K309" i="1" s="1"/>
  <c r="E60" i="14"/>
  <c r="K308" i="1" s="1"/>
  <c r="H308" i="1" s="1"/>
  <c r="E59" i="14"/>
  <c r="K307" i="1" s="1"/>
  <c r="C320" i="2" s="1"/>
  <c r="F320" i="2" s="1"/>
  <c r="G320" i="2" s="1"/>
  <c r="E58" i="14"/>
  <c r="K306" i="1" s="1"/>
  <c r="H306" i="1" s="1"/>
  <c r="E57" i="14"/>
  <c r="K305" i="1" s="1"/>
  <c r="C318" i="2" s="1"/>
  <c r="F318" i="2" s="1"/>
  <c r="G318" i="2" s="1"/>
  <c r="H304" i="1"/>
  <c r="E55" i="14"/>
  <c r="K303" i="1" s="1"/>
  <c r="C316" i="2" s="1"/>
  <c r="F316" i="2" s="1"/>
  <c r="G316" i="2" s="1"/>
  <c r="E54" i="14"/>
  <c r="K302" i="1" s="1"/>
  <c r="H302" i="1" s="1"/>
  <c r="E53" i="14"/>
  <c r="K301" i="1" s="1"/>
  <c r="C314" i="2" s="1"/>
  <c r="F314" i="2" s="1"/>
  <c r="G314" i="2" s="1"/>
  <c r="E52" i="14"/>
  <c r="K300" i="1" s="1"/>
  <c r="H300" i="1" s="1"/>
  <c r="E51" i="14"/>
  <c r="K299" i="1" s="1"/>
  <c r="C312" i="2" s="1"/>
  <c r="F312" i="2" s="1"/>
  <c r="G312" i="2" s="1"/>
  <c r="E50" i="14"/>
  <c r="K298" i="1" s="1"/>
  <c r="H298" i="1" s="1"/>
  <c r="E49" i="14"/>
  <c r="E48" i="14"/>
  <c r="H297" i="1" s="1"/>
  <c r="E47" i="14"/>
  <c r="K296" i="1" s="1"/>
  <c r="C309" i="2" s="1"/>
  <c r="F309" i="2" s="1"/>
  <c r="G309" i="2" s="1"/>
  <c r="H295" i="1"/>
  <c r="E45" i="14"/>
  <c r="K294" i="1" s="1"/>
  <c r="C307" i="2" s="1"/>
  <c r="F307" i="2" s="1"/>
  <c r="G307" i="2" s="1"/>
  <c r="E43" i="14"/>
  <c r="K292" i="1" s="1"/>
  <c r="C305" i="2" s="1"/>
  <c r="F305" i="2" s="1"/>
  <c r="G305" i="2" s="1"/>
  <c r="E42" i="14"/>
  <c r="K291" i="1" s="1"/>
  <c r="H291" i="1" s="1"/>
  <c r="E41" i="14"/>
  <c r="K290" i="1" s="1"/>
  <c r="C303" i="2" s="1"/>
  <c r="F303" i="2" s="1"/>
  <c r="G303" i="2" s="1"/>
  <c r="E40" i="14"/>
  <c r="K289" i="1" s="1"/>
  <c r="H289" i="1" s="1"/>
  <c r="E39" i="14"/>
  <c r="K288" i="1" s="1"/>
  <c r="C301" i="2" s="1"/>
  <c r="F301" i="2" s="1"/>
  <c r="G301" i="2" s="1"/>
  <c r="H287" i="1"/>
  <c r="E37" i="14"/>
  <c r="K286" i="1" s="1"/>
  <c r="C299" i="2" s="1"/>
  <c r="F299" i="2" s="1"/>
  <c r="G299" i="2" s="1"/>
  <c r="E36" i="14"/>
  <c r="K285" i="1" s="1"/>
  <c r="H285" i="1" s="1"/>
  <c r="E35" i="14"/>
  <c r="K284" i="1" s="1"/>
  <c r="C297" i="2" s="1"/>
  <c r="F297" i="2" s="1"/>
  <c r="G297" i="2" s="1"/>
  <c r="E34" i="14"/>
  <c r="K283" i="1" s="1"/>
  <c r="H283" i="1" s="1"/>
  <c r="E33" i="14"/>
  <c r="K282" i="1" s="1"/>
  <c r="C295" i="2" s="1"/>
  <c r="F295" i="2" s="1"/>
  <c r="G295" i="2" s="1"/>
  <c r="H281" i="1"/>
  <c r="E31" i="14"/>
  <c r="K280" i="1" s="1"/>
  <c r="C293" i="2" s="1"/>
  <c r="F293" i="2" s="1"/>
  <c r="G293" i="2" s="1"/>
  <c r="K279" i="1"/>
  <c r="E29" i="14"/>
  <c r="F291" i="2" s="1"/>
  <c r="G291" i="2" s="1"/>
  <c r="E28" i="14"/>
  <c r="K277" i="1" s="1"/>
  <c r="C290" i="2" s="1"/>
  <c r="E27" i="14"/>
  <c r="K276" i="1" s="1"/>
  <c r="E26" i="14"/>
  <c r="K275" i="1" s="1"/>
  <c r="C288" i="2" s="1"/>
  <c r="F288" i="2" s="1"/>
  <c r="G288" i="2" s="1"/>
  <c r="E25" i="14"/>
  <c r="K274" i="1" s="1"/>
  <c r="E23" i="14"/>
  <c r="K272" i="1" s="1"/>
  <c r="C285" i="2" s="1"/>
  <c r="F285" i="2" s="1"/>
  <c r="G285" i="2" s="1"/>
  <c r="E22" i="14"/>
  <c r="K271" i="1" s="1"/>
  <c r="E21" i="14"/>
  <c r="K270" i="1" s="1"/>
  <c r="C283" i="2" s="1"/>
  <c r="F283" i="2" s="1"/>
  <c r="G283" i="2" s="1"/>
  <c r="E19" i="14"/>
  <c r="K268" i="1" s="1"/>
  <c r="C281" i="2" s="1"/>
  <c r="F281" i="2" s="1"/>
  <c r="G281" i="2" s="1"/>
  <c r="E18" i="14"/>
  <c r="K267" i="1" s="1"/>
  <c r="C280" i="2" s="1"/>
  <c r="F280" i="2" s="1"/>
  <c r="G280" i="2" s="1"/>
  <c r="E17" i="14"/>
  <c r="K266" i="1" s="1"/>
  <c r="E16" i="14"/>
  <c r="K265" i="1" s="1"/>
  <c r="E15" i="14"/>
  <c r="K264" i="1" s="1"/>
  <c r="E14" i="14"/>
  <c r="K263" i="1" s="1"/>
  <c r="D12" i="14"/>
  <c r="D134" i="14" s="1"/>
  <c r="E11" i="14"/>
  <c r="E10" i="14"/>
  <c r="E9" i="14"/>
  <c r="E8" i="14"/>
  <c r="E7" i="14"/>
  <c r="E6" i="14"/>
  <c r="E12" i="14" s="1"/>
  <c r="L330" i="1" l="1"/>
  <c r="C379" i="2" s="1"/>
  <c r="C322" i="2"/>
  <c r="F322" i="2" s="1"/>
  <c r="G322" i="2" s="1"/>
  <c r="F404" i="2"/>
  <c r="G404" i="2" s="1"/>
  <c r="F398" i="2"/>
  <c r="G398" i="2" s="1"/>
  <c r="F391" i="2"/>
  <c r="G391" i="2" s="1"/>
  <c r="F416" i="2"/>
  <c r="G416" i="2" s="1"/>
  <c r="F385" i="2"/>
  <c r="G385" i="2" s="1"/>
  <c r="E133" i="14"/>
  <c r="H355" i="1"/>
  <c r="H359" i="1"/>
  <c r="H363" i="1"/>
  <c r="H367" i="1"/>
  <c r="H371" i="1"/>
  <c r="H375" i="1"/>
  <c r="H379" i="1"/>
  <c r="H383" i="1"/>
  <c r="H336" i="1"/>
  <c r="H347" i="1"/>
  <c r="H342" i="1"/>
  <c r="C298" i="2"/>
  <c r="F298" i="2" s="1"/>
  <c r="G298" i="2" s="1"/>
  <c r="C313" i="2"/>
  <c r="F313" i="2" s="1"/>
  <c r="G313" i="2" s="1"/>
  <c r="C321" i="2"/>
  <c r="F321" i="2" s="1"/>
  <c r="G321" i="2" s="1"/>
  <c r="H315" i="1"/>
  <c r="H267" i="1"/>
  <c r="H353" i="1"/>
  <c r="H357" i="1"/>
  <c r="H361" i="1"/>
  <c r="H365" i="1"/>
  <c r="H369" i="1"/>
  <c r="H373" i="1"/>
  <c r="H377" i="1"/>
  <c r="H381" i="1"/>
  <c r="H385" i="1"/>
  <c r="H332" i="1"/>
  <c r="H351" i="1"/>
  <c r="C294" i="2"/>
  <c r="F294" i="2" s="1"/>
  <c r="G294" i="2" s="1"/>
  <c r="C302" i="2"/>
  <c r="F302" i="2" s="1"/>
  <c r="G302" i="2" s="1"/>
  <c r="F310" i="2"/>
  <c r="G310" i="2" s="1"/>
  <c r="H312" i="1"/>
  <c r="H270" i="1"/>
  <c r="H272" i="1"/>
  <c r="C277" i="2"/>
  <c r="F277" i="2" s="1"/>
  <c r="G277" i="2" s="1"/>
  <c r="H264" i="1"/>
  <c r="C279" i="2"/>
  <c r="F279" i="2" s="1"/>
  <c r="G279" i="2" s="1"/>
  <c r="H266" i="1"/>
  <c r="C284" i="2"/>
  <c r="F284" i="2" s="1"/>
  <c r="G284" i="2" s="1"/>
  <c r="H271" i="1"/>
  <c r="C287" i="2"/>
  <c r="F287" i="2" s="1"/>
  <c r="G287" i="2" s="1"/>
  <c r="H274" i="1"/>
  <c r="C289" i="2"/>
  <c r="F289" i="2" s="1"/>
  <c r="G289" i="2" s="1"/>
  <c r="H276" i="1"/>
  <c r="H318" i="1"/>
  <c r="C282" i="2"/>
  <c r="F282" i="2" s="1"/>
  <c r="G282" i="2" s="1"/>
  <c r="H269" i="1"/>
  <c r="H348" i="1"/>
  <c r="H350" i="1"/>
  <c r="H339" i="1"/>
  <c r="H341" i="1"/>
  <c r="H343" i="1"/>
  <c r="H345" i="1"/>
  <c r="H278" i="1"/>
  <c r="H282" i="1"/>
  <c r="H286" i="1"/>
  <c r="H290" i="1"/>
  <c r="H294" i="1"/>
  <c r="H301" i="1"/>
  <c r="H305" i="1"/>
  <c r="H309" i="1"/>
  <c r="H313" i="1"/>
  <c r="H316" i="1"/>
  <c r="C401" i="2"/>
  <c r="F401" i="2" s="1"/>
  <c r="G401" i="2" s="1"/>
  <c r="C405" i="2"/>
  <c r="F405" i="2" s="1"/>
  <c r="G405" i="2" s="1"/>
  <c r="C409" i="2"/>
  <c r="F409" i="2" s="1"/>
  <c r="G409" i="2" s="1"/>
  <c r="C413" i="2"/>
  <c r="F413" i="2" s="1"/>
  <c r="G413" i="2" s="1"/>
  <c r="C417" i="2"/>
  <c r="F417" i="2" s="1"/>
  <c r="G417" i="2" s="1"/>
  <c r="C421" i="2"/>
  <c r="F421" i="2" s="1"/>
  <c r="G421" i="2" s="1"/>
  <c r="H376" i="1"/>
  <c r="H380" i="1"/>
  <c r="H384" i="1"/>
  <c r="H329" i="1"/>
  <c r="H333" i="1"/>
  <c r="H337" i="1"/>
  <c r="H268" i="1"/>
  <c r="C276" i="2"/>
  <c r="C278" i="2"/>
  <c r="H265" i="1"/>
  <c r="C292" i="2"/>
  <c r="H279" i="1"/>
  <c r="C330" i="2"/>
  <c r="H317" i="1"/>
  <c r="H334" i="1"/>
  <c r="H338" i="1"/>
  <c r="H280" i="1"/>
  <c r="H284" i="1"/>
  <c r="H288" i="1"/>
  <c r="H292" i="1"/>
  <c r="H296" i="1"/>
  <c r="H299" i="1"/>
  <c r="H303" i="1"/>
  <c r="H307" i="1"/>
  <c r="H311" i="1"/>
  <c r="C403" i="2"/>
  <c r="F403" i="2" s="1"/>
  <c r="G403" i="2" s="1"/>
  <c r="C407" i="2"/>
  <c r="F407" i="2" s="1"/>
  <c r="G407" i="2" s="1"/>
  <c r="C411" i="2"/>
  <c r="F411" i="2" s="1"/>
  <c r="G411" i="2" s="1"/>
  <c r="C415" i="2"/>
  <c r="F415" i="2" s="1"/>
  <c r="G415" i="2" s="1"/>
  <c r="C419" i="2"/>
  <c r="F419" i="2" s="1"/>
  <c r="G419" i="2" s="1"/>
  <c r="H374" i="1"/>
  <c r="H378" i="1"/>
  <c r="H382" i="1"/>
  <c r="H346" i="1"/>
  <c r="H349" i="1"/>
  <c r="H340" i="1"/>
  <c r="H344" i="1"/>
  <c r="H331" i="1"/>
  <c r="H335" i="1"/>
  <c r="H328" i="1"/>
  <c r="H277" i="1"/>
  <c r="C296" i="2"/>
  <c r="F296" i="2" s="1"/>
  <c r="G296" i="2" s="1"/>
  <c r="C304" i="2"/>
  <c r="F304" i="2" s="1"/>
  <c r="G304" i="2" s="1"/>
  <c r="C311" i="2"/>
  <c r="F311" i="2" s="1"/>
  <c r="G311" i="2" s="1"/>
  <c r="C315" i="2"/>
  <c r="F315" i="2" s="1"/>
  <c r="G315" i="2" s="1"/>
  <c r="C319" i="2"/>
  <c r="F319" i="2" s="1"/>
  <c r="G319" i="2" s="1"/>
  <c r="H314" i="1"/>
  <c r="H263" i="1"/>
  <c r="H310" i="1"/>
  <c r="H275" i="1"/>
  <c r="H273" i="1"/>
  <c r="F425" i="2"/>
  <c r="G425" i="2" s="1"/>
  <c r="F429" i="2"/>
  <c r="G429" i="2" s="1"/>
  <c r="F433" i="2"/>
  <c r="G433" i="2" s="1"/>
  <c r="F378" i="2"/>
  <c r="F382" i="2"/>
  <c r="G382" i="2" s="1"/>
  <c r="F386" i="2"/>
  <c r="G386" i="2" s="1"/>
  <c r="F290" i="2"/>
  <c r="G290" i="2" s="1"/>
  <c r="F325" i="2"/>
  <c r="G325" i="2" s="1"/>
  <c r="F327" i="2"/>
  <c r="G327" i="2" s="1"/>
  <c r="F328" i="2"/>
  <c r="G328" i="2" s="1"/>
  <c r="F397" i="2"/>
  <c r="G397" i="2" s="1"/>
  <c r="F390" i="2"/>
  <c r="G390" i="2" s="1"/>
  <c r="F394" i="2"/>
  <c r="G394" i="2" s="1"/>
  <c r="E72" i="14"/>
  <c r="C364" i="2" l="1"/>
  <c r="G378" i="2"/>
  <c r="F379" i="2"/>
  <c r="G379" i="2" s="1"/>
  <c r="H330" i="1"/>
  <c r="F292" i="2"/>
  <c r="G292" i="2" s="1"/>
  <c r="F330" i="2"/>
  <c r="G330" i="2" s="1"/>
  <c r="E134" i="14"/>
  <c r="F276" i="2"/>
  <c r="G276" i="2" s="1"/>
  <c r="G377" i="2"/>
  <c r="F278" i="2"/>
  <c r="G278" i="2" s="1"/>
  <c r="F331" i="2"/>
  <c r="C359" i="2"/>
  <c r="F355" i="2"/>
  <c r="G355" i="2" s="1"/>
  <c r="B459" i="2"/>
  <c r="G456" i="2"/>
  <c r="F456" i="2"/>
  <c r="D456" i="2"/>
  <c r="C454" i="2"/>
  <c r="G454" i="2" s="1"/>
  <c r="D449" i="2"/>
  <c r="E449" i="2"/>
  <c r="C451" i="2"/>
  <c r="G451" i="2" s="1"/>
  <c r="B451" i="2"/>
  <c r="G361" i="2"/>
  <c r="F361" i="2"/>
  <c r="D361" i="2"/>
  <c r="J201" i="2"/>
  <c r="G198" i="2"/>
  <c r="D196" i="2"/>
  <c r="B193" i="2"/>
  <c r="H191" i="2"/>
  <c r="B186" i="2"/>
  <c r="I183" i="2"/>
  <c r="B174" i="2"/>
  <c r="B157" i="2"/>
  <c r="B156" i="2"/>
  <c r="I138" i="2"/>
  <c r="I135" i="2"/>
  <c r="B132" i="2"/>
  <c r="D117" i="2"/>
  <c r="B76" i="2"/>
  <c r="B57" i="2"/>
  <c r="B56" i="2"/>
  <c r="B55" i="2"/>
  <c r="B54" i="2"/>
  <c r="B53" i="2"/>
  <c r="B52" i="2"/>
  <c r="B51" i="2"/>
  <c r="B50" i="2"/>
  <c r="B46" i="2"/>
  <c r="K33" i="2"/>
  <c r="J25" i="2"/>
  <c r="J24" i="2" s="1"/>
  <c r="C455" i="2"/>
  <c r="G455" i="2" s="1"/>
  <c r="C453" i="2"/>
  <c r="G453" i="2" s="1"/>
  <c r="F452" i="2"/>
  <c r="E452" i="2"/>
  <c r="D452" i="2"/>
  <c r="C450" i="2"/>
  <c r="F450" i="2" s="1"/>
  <c r="F449" i="2" s="1"/>
  <c r="B450" i="2"/>
  <c r="C448" i="2"/>
  <c r="C447" i="2" s="1"/>
  <c r="B448" i="2"/>
  <c r="I364" i="2"/>
  <c r="E447" i="2"/>
  <c r="D447" i="2"/>
  <c r="C445" i="2"/>
  <c r="F445" i="2" s="1"/>
  <c r="C446" i="2"/>
  <c r="G437" i="2"/>
  <c r="G440" i="2"/>
  <c r="G439" i="2"/>
  <c r="G438" i="2"/>
  <c r="E436" i="2"/>
  <c r="D436" i="2"/>
  <c r="F254" i="1"/>
  <c r="H223" i="1"/>
  <c r="K214" i="1"/>
  <c r="M139" i="1"/>
  <c r="O156" i="1"/>
  <c r="G364" i="2" l="1"/>
  <c r="F364" i="2"/>
  <c r="E371" i="2"/>
  <c r="E370" i="2"/>
  <c r="E364" i="2" s="1"/>
  <c r="D370" i="2"/>
  <c r="D371" i="2"/>
  <c r="I377" i="2"/>
  <c r="G331" i="2"/>
  <c r="F446" i="2"/>
  <c r="G446" i="2" s="1"/>
  <c r="C449" i="2"/>
  <c r="C452" i="2"/>
  <c r="G452" i="2"/>
  <c r="G448" i="2"/>
  <c r="G450" i="2"/>
  <c r="G449" i="2" s="1"/>
  <c r="G445" i="2"/>
  <c r="F252" i="1"/>
  <c r="K210" i="1"/>
  <c r="D364" i="2" l="1"/>
  <c r="K206" i="1"/>
  <c r="H262" i="2" s="1"/>
  <c r="G447" i="2"/>
  <c r="F447" i="2"/>
  <c r="L277" i="2" l="1"/>
  <c r="L206" i="1" l="1"/>
  <c r="M206" i="1"/>
  <c r="H155" i="1"/>
  <c r="H156" i="1"/>
  <c r="I140" i="2" l="1"/>
  <c r="J210" i="1" l="1"/>
  <c r="D195" i="2" s="1"/>
  <c r="O211" i="1"/>
  <c r="K201" i="2"/>
  <c r="I200" i="2" s="1"/>
  <c r="J237" i="1" l="1"/>
  <c r="K237" i="1"/>
  <c r="J236" i="1"/>
  <c r="J238" i="1" l="1"/>
  <c r="O241" i="1"/>
  <c r="J398" i="1"/>
  <c r="H398" i="1" l="1"/>
  <c r="C213" i="2"/>
  <c r="J27" i="1"/>
  <c r="K32" i="1"/>
  <c r="C228" i="2" s="1"/>
  <c r="F213" i="2" l="1"/>
  <c r="G213" i="2" s="1"/>
  <c r="F228" i="2"/>
  <c r="G228" i="2" s="1"/>
  <c r="J145" i="1"/>
  <c r="B188" i="2"/>
  <c r="H186" i="2" l="1"/>
  <c r="J251" i="1"/>
  <c r="H251" i="1" l="1"/>
  <c r="C206" i="2"/>
  <c r="F206" i="2" s="1"/>
  <c r="G206" i="2" s="1"/>
  <c r="G262" i="2" l="1"/>
  <c r="F262" i="2"/>
  <c r="J206" i="1"/>
  <c r="I206" i="1"/>
  <c r="P403" i="1"/>
  <c r="P401" i="1" s="1"/>
  <c r="P402" i="1" s="1"/>
  <c r="C262" i="2" l="1"/>
  <c r="J399" i="1" l="1"/>
  <c r="C214" i="2" s="1"/>
  <c r="F214" i="2" s="1"/>
  <c r="G214" i="2" s="1"/>
  <c r="F156" i="1" l="1"/>
  <c r="E362" i="2"/>
  <c r="E357" i="2"/>
  <c r="E353" i="2"/>
  <c r="E345" i="2"/>
  <c r="E334" i="2"/>
  <c r="E258" i="2"/>
  <c r="B249" i="2"/>
  <c r="E248" i="2"/>
  <c r="K164" i="1" s="1"/>
  <c r="K21" i="1" s="1"/>
  <c r="E199" i="2"/>
  <c r="E197" i="2"/>
  <c r="E191" i="2"/>
  <c r="E149" i="2"/>
  <c r="E135" i="2"/>
  <c r="E128" i="2"/>
  <c r="E118" i="2"/>
  <c r="E82" i="2"/>
  <c r="E32" i="2"/>
  <c r="E19" i="2"/>
  <c r="I21" i="1"/>
  <c r="L21" i="1"/>
  <c r="M21" i="1"/>
  <c r="D199" i="2" l="1"/>
  <c r="J28" i="1"/>
  <c r="B154" i="2" l="1"/>
  <c r="B153" i="2"/>
  <c r="J82" i="1"/>
  <c r="J90" i="1"/>
  <c r="J88" i="1"/>
  <c r="J79" i="1"/>
  <c r="B180" i="2" l="1"/>
  <c r="B179" i="2"/>
  <c r="B177" i="2"/>
  <c r="B178" i="2"/>
  <c r="J94" i="1"/>
  <c r="J110" i="1" l="1"/>
  <c r="J109" i="1"/>
  <c r="J108" i="1"/>
  <c r="J107" i="1"/>
  <c r="J87" i="1"/>
  <c r="J75" i="1"/>
  <c r="J81" i="1"/>
  <c r="J101" i="1"/>
  <c r="J80" i="1"/>
  <c r="H107" i="1" l="1"/>
  <c r="H81" i="1"/>
  <c r="H80" i="1"/>
  <c r="H108" i="1"/>
  <c r="H109" i="1"/>
  <c r="H110" i="1"/>
  <c r="B187" i="2"/>
  <c r="F155" i="1"/>
  <c r="G9" i="8" l="1"/>
  <c r="H9" i="8" s="1"/>
  <c r="G10" i="8"/>
  <c r="H10" i="8" s="1"/>
  <c r="G11" i="8"/>
  <c r="H11" i="8" s="1"/>
  <c r="G7" i="8"/>
  <c r="H7" i="8" s="1"/>
  <c r="G5" i="8"/>
  <c r="H5" i="8" s="1"/>
  <c r="E183" i="2" l="1"/>
  <c r="J164" i="1" s="1"/>
  <c r="J21" i="1" s="1"/>
  <c r="F19" i="8"/>
  <c r="H164" i="1" l="1"/>
  <c r="H21" i="1" s="1"/>
  <c r="C16" i="8"/>
  <c r="E17" i="8"/>
  <c r="E16" i="8"/>
  <c r="E21" i="8" l="1"/>
  <c r="F8" i="8"/>
  <c r="F6" i="8"/>
  <c r="D18" i="8"/>
  <c r="F21" i="8" l="1"/>
  <c r="H16" i="8"/>
  <c r="I16" i="8" s="1"/>
  <c r="I17" i="8" s="1"/>
  <c r="D19" i="8"/>
  <c r="D6" i="8" l="1"/>
  <c r="D21" i="8" s="1"/>
  <c r="F46" i="1" l="1"/>
  <c r="F49" i="1"/>
  <c r="F48" i="1"/>
  <c r="D362" i="2" l="1"/>
  <c r="F362" i="2"/>
  <c r="L230" i="1"/>
  <c r="G363" i="2" s="1"/>
  <c r="G362" i="2" s="1"/>
  <c r="L222" i="1"/>
  <c r="C363" i="2" l="1"/>
  <c r="C362" i="2" s="1"/>
  <c r="J104" i="1" l="1"/>
  <c r="B173" i="2"/>
  <c r="J103" i="1"/>
  <c r="H103" i="1" s="1"/>
  <c r="B171" i="2"/>
  <c r="B172" i="2"/>
  <c r="J102" i="1"/>
  <c r="H101" i="1"/>
  <c r="J100" i="1"/>
  <c r="H104" i="1" l="1"/>
  <c r="H102" i="1"/>
  <c r="J30" i="1"/>
  <c r="H397" i="1" l="1"/>
  <c r="D198" i="2" l="1"/>
  <c r="B176" i="2" l="1"/>
  <c r="J106" i="1"/>
  <c r="H106" i="1" l="1"/>
  <c r="J195" i="1" l="1"/>
  <c r="J131" i="1" l="1"/>
  <c r="I230" i="1"/>
  <c r="I403" i="1"/>
  <c r="I38" i="1"/>
  <c r="I23" i="1" l="1"/>
  <c r="B175" i="2" l="1"/>
  <c r="J105" i="1"/>
  <c r="H105" i="1" l="1"/>
  <c r="D345" i="2" l="1"/>
  <c r="L241" i="1" l="1"/>
  <c r="J32" i="1" l="1"/>
  <c r="J139" i="1" l="1"/>
  <c r="B163" i="2" l="1"/>
  <c r="B170" i="2"/>
  <c r="H100" i="1"/>
  <c r="J92" i="1"/>
  <c r="J95" i="1"/>
  <c r="D135" i="2" l="1"/>
  <c r="B148" i="2"/>
  <c r="F251" i="1" l="1"/>
  <c r="F246" i="1"/>
  <c r="P145" i="1" l="1"/>
  <c r="I343" i="2" l="1"/>
  <c r="J99" i="1"/>
  <c r="J98" i="1"/>
  <c r="H98" i="1" s="1"/>
  <c r="J97" i="1"/>
  <c r="J96" i="1"/>
  <c r="H96" i="1" s="1"/>
  <c r="H95" i="1"/>
  <c r="J76" i="1"/>
  <c r="J85" i="1"/>
  <c r="H120" i="1"/>
  <c r="H246" i="1"/>
  <c r="H97" i="1" l="1"/>
  <c r="H94" i="1"/>
  <c r="H99" i="1"/>
  <c r="J41" i="1"/>
  <c r="H149" i="2" s="1"/>
  <c r="I44" i="1" l="1"/>
  <c r="M202" i="1" l="1"/>
  <c r="K202" i="1"/>
  <c r="L202" i="1"/>
  <c r="G244" i="1" l="1"/>
  <c r="F243" i="1" s="1"/>
  <c r="F244" i="1"/>
  <c r="J224" i="1"/>
  <c r="H224" i="1" s="1"/>
  <c r="H345" i="2"/>
  <c r="H33" i="1"/>
  <c r="D258" i="2"/>
  <c r="F258" i="2"/>
  <c r="C261" i="2"/>
  <c r="G261" i="2" s="1"/>
  <c r="G260" i="2"/>
  <c r="C259" i="2"/>
  <c r="C360" i="2"/>
  <c r="G360" i="2" s="1"/>
  <c r="G359" i="2"/>
  <c r="C358" i="2"/>
  <c r="G358" i="2" s="1"/>
  <c r="D357" i="2"/>
  <c r="F357" i="2"/>
  <c r="D353" i="2"/>
  <c r="D248" i="2"/>
  <c r="K163" i="1" s="1"/>
  <c r="G257" i="2"/>
  <c r="C352" i="2"/>
  <c r="G352" i="2" s="1"/>
  <c r="C351" i="2"/>
  <c r="F351" i="2" s="1"/>
  <c r="F345" i="2" s="1"/>
  <c r="I334" i="2" s="1"/>
  <c r="G259" i="2" l="1"/>
  <c r="G258" i="2" s="1"/>
  <c r="C258" i="2"/>
  <c r="C345" i="2"/>
  <c r="J334" i="2" s="1"/>
  <c r="G357" i="2"/>
  <c r="C357" i="2"/>
  <c r="F145" i="1"/>
  <c r="F146" i="1"/>
  <c r="F147" i="1"/>
  <c r="F119" i="1"/>
  <c r="G146" i="1"/>
  <c r="F141" i="1" l="1"/>
  <c r="G20" i="3"/>
  <c r="F20" i="3"/>
  <c r="G351" i="2"/>
  <c r="G345" i="2" s="1"/>
  <c r="L136" i="1" s="1"/>
  <c r="C356" i="2"/>
  <c r="C354" i="2"/>
  <c r="C343" i="2"/>
  <c r="C344" i="2"/>
  <c r="F344" i="2" s="1"/>
  <c r="F339" i="2"/>
  <c r="C335" i="2"/>
  <c r="F335" i="2" s="1"/>
  <c r="L38" i="1"/>
  <c r="F338" i="2"/>
  <c r="G338" i="2" s="1"/>
  <c r="F337" i="2"/>
  <c r="G337" i="2" s="1"/>
  <c r="F336" i="2"/>
  <c r="G336" i="2" s="1"/>
  <c r="D334" i="2"/>
  <c r="G339" i="2" l="1"/>
  <c r="G356" i="2"/>
  <c r="F343" i="2"/>
  <c r="G343" i="2" s="1"/>
  <c r="L403" i="1"/>
  <c r="L402" i="1"/>
  <c r="L135" i="1"/>
  <c r="F354" i="2"/>
  <c r="C353" i="2"/>
  <c r="G335" i="2"/>
  <c r="G344" i="2"/>
  <c r="G196" i="2"/>
  <c r="F196" i="2"/>
  <c r="G195" i="2"/>
  <c r="F195" i="2"/>
  <c r="B194" i="2"/>
  <c r="D191" i="2"/>
  <c r="F191" i="2"/>
  <c r="G193" i="2"/>
  <c r="C192" i="2"/>
  <c r="B192" i="2"/>
  <c r="G342" i="2" l="1"/>
  <c r="F353" i="2"/>
  <c r="L165" i="1" s="1"/>
  <c r="C194" i="2"/>
  <c r="G194" i="2" s="1"/>
  <c r="J202" i="1"/>
  <c r="G354" i="2"/>
  <c r="G192" i="2"/>
  <c r="G353" i="2" l="1"/>
  <c r="L166" i="1" s="1"/>
  <c r="C191" i="2"/>
  <c r="G191" i="2"/>
  <c r="J244" i="1"/>
  <c r="J241" i="1" s="1"/>
  <c r="L139" i="1" l="1"/>
  <c r="H353" i="2" s="1"/>
  <c r="H199" i="2"/>
  <c r="F250" i="1"/>
  <c r="F249" i="1"/>
  <c r="F248" i="1"/>
  <c r="F247" i="1"/>
  <c r="F245" i="1"/>
  <c r="F242" i="1" l="1"/>
  <c r="F18" i="3"/>
  <c r="C200" i="2"/>
  <c r="F200" i="2" s="1"/>
  <c r="I249" i="1"/>
  <c r="I244" i="1"/>
  <c r="I399" i="1"/>
  <c r="H250" i="1"/>
  <c r="I247" i="1"/>
  <c r="C199" i="2" l="1"/>
  <c r="H249" i="1"/>
  <c r="C132" i="2"/>
  <c r="I27" i="1"/>
  <c r="I30" i="1"/>
  <c r="I32" i="1"/>
  <c r="H32" i="1" s="1"/>
  <c r="F199" i="2" l="1"/>
  <c r="G200" i="2"/>
  <c r="G199" i="2" s="1"/>
  <c r="I27" i="2"/>
  <c r="I57" i="1" l="1"/>
  <c r="H57" i="1" s="1"/>
  <c r="I132" i="1"/>
  <c r="H132" i="1" s="1"/>
  <c r="H230" i="1" l="1"/>
  <c r="L214" i="1"/>
  <c r="H363" i="2" s="1"/>
  <c r="I131" i="1" l="1"/>
  <c r="C149" i="2"/>
  <c r="K34" i="2" l="1"/>
  <c r="F149" i="2" l="1"/>
  <c r="I181" i="2" s="1"/>
  <c r="I18" i="2"/>
  <c r="K149" i="2" l="1"/>
  <c r="K152" i="2" s="1"/>
  <c r="J199" i="2"/>
  <c r="J200" i="2" s="1"/>
  <c r="K200" i="2" s="1"/>
  <c r="I184" i="2"/>
  <c r="I49" i="1"/>
  <c r="L150" i="2" l="1"/>
  <c r="K151" i="2"/>
  <c r="I143" i="1"/>
  <c r="I184" i="1" l="1"/>
  <c r="I183" i="1"/>
  <c r="I181" i="1"/>
  <c r="I180" i="1"/>
  <c r="I179" i="1"/>
  <c r="I178" i="1"/>
  <c r="I236" i="1" l="1"/>
  <c r="I237" i="1" l="1"/>
  <c r="I234" i="1" l="1"/>
  <c r="H116" i="1" l="1"/>
  <c r="H117" i="1"/>
  <c r="H118" i="1"/>
  <c r="I195" i="1"/>
  <c r="I171" i="1"/>
  <c r="I170" i="1"/>
  <c r="H88" i="2" s="1"/>
  <c r="I214" i="1"/>
  <c r="H111" i="1"/>
  <c r="H112" i="1"/>
  <c r="H113" i="1"/>
  <c r="H114" i="1"/>
  <c r="H115" i="1"/>
  <c r="H177" i="1" l="1"/>
  <c r="I176" i="1"/>
  <c r="I175" i="1"/>
  <c r="I174" i="1"/>
  <c r="F118" i="2"/>
  <c r="D118" i="2"/>
  <c r="H221" i="1"/>
  <c r="H220" i="1"/>
  <c r="I84" i="1" l="1"/>
  <c r="I82" i="1"/>
  <c r="I78" i="1"/>
  <c r="I76" i="1"/>
  <c r="I248" i="1" l="1"/>
  <c r="I241" i="1" s="1"/>
  <c r="G197" i="2" l="1"/>
  <c r="F198" i="2"/>
  <c r="F197" i="2" s="1"/>
  <c r="D197" i="2"/>
  <c r="J402" i="1" l="1"/>
  <c r="D20" i="3"/>
  <c r="J403" i="1" l="1"/>
  <c r="I188" i="1"/>
  <c r="I187" i="1"/>
  <c r="I186" i="1"/>
  <c r="I185" i="1"/>
  <c r="I182" i="1"/>
  <c r="B10" i="12" l="1"/>
  <c r="B11" i="12"/>
  <c r="B12" i="12"/>
  <c r="B13" i="12"/>
  <c r="B14" i="12"/>
  <c r="B15" i="12"/>
  <c r="B16" i="12"/>
  <c r="B17" i="12"/>
  <c r="B6" i="12"/>
  <c r="A36" i="12"/>
  <c r="A37" i="12"/>
  <c r="A30" i="12"/>
  <c r="A31" i="12"/>
  <c r="A32" i="12"/>
  <c r="A33" i="12"/>
  <c r="A34" i="12"/>
  <c r="A35" i="12"/>
  <c r="A21" i="12"/>
  <c r="A22" i="12"/>
  <c r="A23" i="12"/>
  <c r="A24" i="12"/>
  <c r="A25" i="12"/>
  <c r="A26" i="12"/>
  <c r="A27" i="12"/>
  <c r="A28" i="12"/>
  <c r="A29" i="12"/>
  <c r="A5" i="12"/>
  <c r="A6" i="12"/>
  <c r="A7" i="12"/>
  <c r="A8" i="12"/>
  <c r="A9" i="12"/>
  <c r="A10" i="12"/>
  <c r="A11" i="12"/>
  <c r="A12" i="12"/>
  <c r="A13" i="12"/>
  <c r="A14" i="12"/>
  <c r="A15" i="12"/>
  <c r="A16" i="12"/>
  <c r="A17" i="12"/>
  <c r="A18" i="12"/>
  <c r="A19" i="12"/>
  <c r="A20" i="12"/>
  <c r="A4" i="12"/>
  <c r="E6" i="11" l="1"/>
  <c r="B19" i="11"/>
  <c r="B18" i="11"/>
  <c r="B17" i="11"/>
  <c r="D6" i="11"/>
  <c r="B16" i="11"/>
  <c r="B15" i="11"/>
  <c r="C6" i="11" l="1"/>
  <c r="B6" i="11"/>
  <c r="B17" i="8" l="1"/>
  <c r="B16" i="8"/>
  <c r="B15" i="8"/>
  <c r="B5" i="8"/>
  <c r="B6" i="8"/>
  <c r="B7" i="8"/>
  <c r="B8" i="8"/>
  <c r="B9" i="8"/>
  <c r="B10" i="8"/>
  <c r="B11" i="8"/>
  <c r="B12" i="8"/>
  <c r="B13" i="8"/>
  <c r="B14" i="8"/>
  <c r="B4" i="8"/>
  <c r="I47" i="1" l="1"/>
  <c r="I46" i="1"/>
  <c r="I45" i="1"/>
  <c r="D128" i="2"/>
  <c r="F132" i="2"/>
  <c r="H248" i="1"/>
  <c r="B8" i="12" l="1"/>
  <c r="B7" i="12"/>
  <c r="B9" i="12"/>
  <c r="G132" i="2"/>
  <c r="I92" i="1"/>
  <c r="I93" i="1"/>
  <c r="B36" i="12"/>
  <c r="B34" i="12"/>
  <c r="I91" i="1"/>
  <c r="B33" i="12" s="1"/>
  <c r="I90" i="1"/>
  <c r="B32" i="12" s="1"/>
  <c r="I89" i="1"/>
  <c r="I88" i="1"/>
  <c r="I87" i="1"/>
  <c r="B29" i="12" s="1"/>
  <c r="I86" i="1"/>
  <c r="B28" i="12" s="1"/>
  <c r="I85" i="1"/>
  <c r="B27" i="12" s="1"/>
  <c r="B26" i="12"/>
  <c r="I83" i="1"/>
  <c r="B25" i="12" s="1"/>
  <c r="B24" i="12"/>
  <c r="I79" i="1"/>
  <c r="B23" i="12" s="1"/>
  <c r="B22" i="12"/>
  <c r="I77" i="1"/>
  <c r="B21" i="12" s="1"/>
  <c r="B20" i="12"/>
  <c r="I75" i="1"/>
  <c r="B30" i="12" l="1"/>
  <c r="B37" i="12"/>
  <c r="B19" i="12"/>
  <c r="B31" i="12"/>
  <c r="B35" i="12"/>
  <c r="G45" i="1"/>
  <c r="G47" i="1"/>
  <c r="F43" i="1" l="1"/>
  <c r="D9" i="9"/>
  <c r="D11" i="9" s="1"/>
  <c r="B28" i="9"/>
  <c r="C29" i="9"/>
  <c r="F29" i="9"/>
  <c r="B26" i="9"/>
  <c r="E29" i="9"/>
  <c r="D29" i="9"/>
  <c r="B27" i="9"/>
  <c r="D20" i="9"/>
  <c r="E20" i="9"/>
  <c r="F20" i="9"/>
  <c r="C20" i="9"/>
  <c r="B18" i="9"/>
  <c r="B19" i="9"/>
  <c r="B17" i="9"/>
  <c r="C9" i="9"/>
  <c r="C11" i="9" s="1"/>
  <c r="F11" i="9"/>
  <c r="B6" i="9"/>
  <c r="B7" i="9"/>
  <c r="B20" i="9" l="1"/>
  <c r="B8" i="9"/>
  <c r="B10" i="9" s="1"/>
  <c r="B29" i="9"/>
  <c r="G26" i="9" s="1"/>
  <c r="G28" i="9" l="1"/>
  <c r="G27" i="9"/>
  <c r="G18" i="9"/>
  <c r="G17" i="9"/>
  <c r="G19" i="9"/>
  <c r="G29" i="9" l="1"/>
  <c r="G20" i="9"/>
  <c r="H211" i="1"/>
  <c r="B58" i="2" l="1"/>
  <c r="B59" i="2"/>
  <c r="B60" i="2"/>
  <c r="B61" i="2"/>
  <c r="B62" i="2"/>
  <c r="B63" i="2"/>
  <c r="H90" i="1"/>
  <c r="H91" i="1"/>
  <c r="H88" i="1"/>
  <c r="H85" i="1"/>
  <c r="H84" i="1"/>
  <c r="H83" i="1"/>
  <c r="H82" i="1"/>
  <c r="H79" i="1"/>
  <c r="H89" i="1"/>
  <c r="H86" i="1" l="1"/>
  <c r="H93" i="1"/>
  <c r="H87" i="1"/>
  <c r="H92" i="1"/>
  <c r="E9" i="9" l="1"/>
  <c r="E11" i="9" l="1"/>
  <c r="B9" i="9"/>
  <c r="G8" i="9" s="1"/>
  <c r="G6" i="9" l="1"/>
  <c r="G7" i="9"/>
  <c r="G9" i="9" l="1"/>
  <c r="B107" i="2"/>
  <c r="H188" i="1"/>
  <c r="B114" i="2"/>
  <c r="H195" i="1"/>
  <c r="F126" i="2" l="1"/>
  <c r="D126" i="2"/>
  <c r="C133" i="2"/>
  <c r="F133" i="2" s="1"/>
  <c r="B133" i="2"/>
  <c r="H399" i="1"/>
  <c r="G133" i="2" l="1"/>
  <c r="B18" i="12"/>
  <c r="H78" i="1"/>
  <c r="H218" i="1"/>
  <c r="G126" i="2" l="1"/>
  <c r="H238" i="1"/>
  <c r="J234" i="1"/>
  <c r="C198" i="2" s="1"/>
  <c r="C197" i="2" s="1"/>
  <c r="C126" i="2" l="1"/>
  <c r="H126" i="2"/>
  <c r="B48" i="2" l="1"/>
  <c r="B49" i="2"/>
  <c r="B47" i="2"/>
  <c r="H75" i="1" l="1"/>
  <c r="H76" i="1"/>
  <c r="H77" i="1"/>
  <c r="B131" i="2" l="1"/>
  <c r="B37" i="2"/>
  <c r="B38" i="2"/>
  <c r="B39" i="2"/>
  <c r="B40" i="2"/>
  <c r="B41" i="2"/>
  <c r="B42" i="2"/>
  <c r="B43" i="2"/>
  <c r="B44" i="2"/>
  <c r="J20" i="1"/>
  <c r="K20" i="1"/>
  <c r="L20" i="1"/>
  <c r="M20" i="1"/>
  <c r="H245" i="1"/>
  <c r="C130" i="2"/>
  <c r="C129" i="2"/>
  <c r="F129" i="2" l="1"/>
  <c r="L22" i="1" l="1"/>
  <c r="I20" i="1"/>
  <c r="F130" i="2"/>
  <c r="C131" i="2"/>
  <c r="C128" i="2" s="1"/>
  <c r="B33" i="2"/>
  <c r="H244" i="1"/>
  <c r="F131" i="2" l="1"/>
  <c r="G131" i="2" s="1"/>
  <c r="H401" i="1"/>
  <c r="G130" i="2"/>
  <c r="G129" i="2"/>
  <c r="H247" i="1"/>
  <c r="G128" i="2" l="1"/>
  <c r="F128" i="2"/>
  <c r="H128" i="2" l="1"/>
  <c r="H51" i="1"/>
  <c r="H52" i="1"/>
  <c r="H53" i="1"/>
  <c r="H54" i="1"/>
  <c r="H55" i="1"/>
  <c r="H56" i="1"/>
  <c r="H187" i="1" l="1"/>
  <c r="H185" i="1"/>
  <c r="H183" i="1"/>
  <c r="H181" i="1"/>
  <c r="H178" i="1"/>
  <c r="H186" i="1" l="1"/>
  <c r="H184" i="1"/>
  <c r="H182" i="1"/>
  <c r="H180" i="1"/>
  <c r="H179" i="1"/>
  <c r="D34" i="5"/>
  <c r="E9" i="5" l="1"/>
  <c r="F47" i="1" l="1"/>
  <c r="F45" i="1" l="1"/>
  <c r="F42" i="1" s="1"/>
  <c r="E18" i="3" l="1"/>
  <c r="E20" i="3"/>
  <c r="C21" i="8"/>
  <c r="C22" i="8" s="1"/>
  <c r="D16" i="5"/>
  <c r="J20" i="3" l="1"/>
  <c r="L20" i="3"/>
  <c r="M20" i="3" s="1"/>
  <c r="H50" i="1"/>
  <c r="I191" i="1" l="1"/>
  <c r="B29" i="5"/>
  <c r="C29" i="5" s="1"/>
  <c r="B30" i="5"/>
  <c r="C30" i="5" s="1"/>
  <c r="B31" i="5"/>
  <c r="C31" i="5" s="1"/>
  <c r="B32" i="5"/>
  <c r="C32" i="5" s="1"/>
  <c r="B33" i="5"/>
  <c r="C33" i="5" s="1"/>
  <c r="B28" i="5"/>
  <c r="C28" i="5" s="1"/>
  <c r="I189" i="1"/>
  <c r="I190" i="1"/>
  <c r="I192" i="1"/>
  <c r="I193" i="1"/>
  <c r="I194" i="1"/>
  <c r="G33" i="5" l="1"/>
  <c r="C27" i="5"/>
  <c r="B27" i="5"/>
  <c r="D27" i="5" l="1"/>
  <c r="D39" i="3"/>
  <c r="C45" i="3"/>
  <c r="M45" i="3" s="1"/>
  <c r="H174" i="1" l="1"/>
  <c r="H175" i="1"/>
  <c r="H176" i="1"/>
  <c r="H189" i="1"/>
  <c r="H190" i="1"/>
  <c r="H191" i="1"/>
  <c r="H192" i="1"/>
  <c r="H193" i="1"/>
  <c r="H194" i="1"/>
  <c r="J214" i="1"/>
  <c r="C196" i="2" s="1"/>
  <c r="M214" i="1"/>
  <c r="H214" i="1" l="1"/>
  <c r="H216" i="1"/>
  <c r="H217" i="1"/>
  <c r="H219" i="1"/>
  <c r="H222" i="1"/>
  <c r="F117" i="2"/>
  <c r="H118" i="2" l="1"/>
  <c r="C54" i="3" l="1"/>
  <c r="C53" i="3"/>
  <c r="B75" i="2" l="1"/>
  <c r="B77" i="2"/>
  <c r="B73" i="2"/>
  <c r="B74" i="2"/>
  <c r="B72" i="2"/>
  <c r="G29" i="5" l="1"/>
  <c r="J33" i="5" s="1"/>
  <c r="B12" i="5"/>
  <c r="B7" i="5"/>
  <c r="B19" i="5"/>
  <c r="I196" i="1"/>
  <c r="I169" i="1" s="1"/>
  <c r="I159" i="1"/>
  <c r="I139" i="1" s="1"/>
  <c r="C23" i="5"/>
  <c r="C24" i="5"/>
  <c r="C22" i="5"/>
  <c r="H159" i="1" l="1"/>
  <c r="C19" i="5"/>
  <c r="H49" i="1"/>
  <c r="H121" i="1" l="1"/>
  <c r="H122" i="1"/>
  <c r="H123" i="1"/>
  <c r="H124" i="1"/>
  <c r="H125" i="1"/>
  <c r="H126" i="1"/>
  <c r="I127" i="1"/>
  <c r="I130" i="1"/>
  <c r="I41" i="1" l="1"/>
  <c r="H127" i="1"/>
  <c r="H32" i="2" l="1"/>
  <c r="D19" i="5"/>
  <c r="C12" i="5"/>
  <c r="D12" i="5"/>
  <c r="H18" i="3" l="1"/>
  <c r="H158" i="1"/>
  <c r="I28" i="1" l="1"/>
  <c r="D19" i="2"/>
  <c r="I34" i="1"/>
  <c r="H34" i="1" s="1"/>
  <c r="I26" i="1" l="1"/>
  <c r="D7" i="5"/>
  <c r="G14" i="4" l="1"/>
  <c r="K20" i="3"/>
  <c r="D149" i="2"/>
  <c r="C51" i="3" l="1"/>
  <c r="H229" i="1"/>
  <c r="H228" i="1"/>
  <c r="H215" i="1"/>
  <c r="C118" i="2" l="1"/>
  <c r="G118" i="2"/>
  <c r="F256" i="2"/>
  <c r="G256" i="2" l="1"/>
  <c r="H146" i="1"/>
  <c r="F157" i="1" l="1"/>
  <c r="F140" i="1" l="1"/>
  <c r="G18" i="3" s="1"/>
  <c r="I18" i="3"/>
  <c r="D183" i="2"/>
  <c r="C183" i="2"/>
  <c r="B185" i="2"/>
  <c r="B184" i="2"/>
  <c r="H145" i="1"/>
  <c r="H147" i="1"/>
  <c r="K18" i="3" l="1"/>
  <c r="J18" i="3"/>
  <c r="F183" i="2"/>
  <c r="G183" i="2"/>
  <c r="F219" i="2"/>
  <c r="G219" i="2" s="1"/>
  <c r="F221" i="2"/>
  <c r="G221" i="2" s="1"/>
  <c r="F223" i="2"/>
  <c r="G223" i="2" s="1"/>
  <c r="F218" i="2"/>
  <c r="L18" i="3" l="1"/>
  <c r="G218" i="2"/>
  <c r="J165" i="1"/>
  <c r="K185" i="2"/>
  <c r="L185" i="2" s="1"/>
  <c r="J166" i="1"/>
  <c r="F14" i="4" l="1"/>
  <c r="C41" i="3" s="1"/>
  <c r="C50" i="3"/>
  <c r="C247" i="2"/>
  <c r="H119" i="1"/>
  <c r="H130" i="1"/>
  <c r="H36" i="1"/>
  <c r="G246" i="2" l="1"/>
  <c r="G247" i="2"/>
  <c r="G149" i="2"/>
  <c r="G217" i="2"/>
  <c r="I233" i="1" l="1"/>
  <c r="J136" i="1" l="1"/>
  <c r="J135" i="1" l="1"/>
  <c r="P386" i="1" s="1"/>
  <c r="H48" i="1"/>
  <c r="H45" i="1" l="1"/>
  <c r="H46" i="1"/>
  <c r="H47" i="1"/>
  <c r="F32" i="2" l="1"/>
  <c r="J32" i="2" s="1"/>
  <c r="L23" i="1" l="1"/>
  <c r="J29" i="2"/>
  <c r="G32" i="2"/>
  <c r="H209" i="1"/>
  <c r="H200" i="1"/>
  <c r="H163" i="1"/>
  <c r="H134" i="1"/>
  <c r="J169" i="1"/>
  <c r="H144" i="1"/>
  <c r="J30" i="2" l="1"/>
  <c r="H172" i="1"/>
  <c r="H173" i="1"/>
  <c r="H210" i="1" l="1"/>
  <c r="H234" i="1" l="1"/>
  <c r="H233" i="1" s="1"/>
  <c r="H206" i="1"/>
  <c r="H205" i="1" s="1"/>
  <c r="H171" i="1"/>
  <c r="H196" i="1"/>
  <c r="H197" i="1"/>
  <c r="H170" i="1"/>
  <c r="H143" i="1"/>
  <c r="H157" i="1"/>
  <c r="H160" i="1"/>
  <c r="H142" i="1"/>
  <c r="H131" i="1"/>
  <c r="H169" i="1" l="1"/>
  <c r="M29" i="1" l="1"/>
  <c r="C443" i="2" s="1"/>
  <c r="F443" i="2" s="1"/>
  <c r="L29" i="1"/>
  <c r="C341" i="2" s="1"/>
  <c r="K29" i="1"/>
  <c r="C225" i="2" s="1"/>
  <c r="J29" i="1"/>
  <c r="H27" i="1"/>
  <c r="F225" i="2" l="1"/>
  <c r="G225" i="2" s="1"/>
  <c r="G443" i="2"/>
  <c r="H29" i="1"/>
  <c r="F341" i="2"/>
  <c r="G341" i="2" s="1"/>
  <c r="D14" i="4"/>
  <c r="C42" i="3" l="1"/>
  <c r="H14" i="4"/>
  <c r="C90" i="2"/>
  <c r="C89" i="2"/>
  <c r="C88" i="2" l="1"/>
  <c r="D42" i="3"/>
  <c r="C46" i="3"/>
  <c r="C47" i="3" s="1"/>
  <c r="C43" i="3"/>
  <c r="C82" i="2"/>
  <c r="M28" i="1"/>
  <c r="C442" i="2" s="1"/>
  <c r="F442" i="2" s="1"/>
  <c r="C340" i="2"/>
  <c r="J26" i="1"/>
  <c r="M30" i="1"/>
  <c r="C444" i="2" s="1"/>
  <c r="F444" i="2" s="1"/>
  <c r="L30" i="1"/>
  <c r="C342" i="2" s="1"/>
  <c r="F342" i="2" s="1"/>
  <c r="C224" i="2" l="1"/>
  <c r="K26" i="1"/>
  <c r="H216" i="2" s="1"/>
  <c r="H135" i="2"/>
  <c r="G444" i="2"/>
  <c r="G441" i="2"/>
  <c r="C436" i="2"/>
  <c r="F340" i="2"/>
  <c r="C334" i="2"/>
  <c r="C135" i="2"/>
  <c r="H28" i="1"/>
  <c r="H30" i="1"/>
  <c r="M46" i="3"/>
  <c r="L26" i="1"/>
  <c r="H334" i="2" s="1"/>
  <c r="M26" i="1"/>
  <c r="H436" i="2" s="1"/>
  <c r="C19" i="2"/>
  <c r="J205" i="1"/>
  <c r="C195" i="2" s="1"/>
  <c r="K205" i="1"/>
  <c r="L205" i="1"/>
  <c r="M205" i="1"/>
  <c r="G226" i="2" l="1"/>
  <c r="F224" i="2"/>
  <c r="C216" i="2"/>
  <c r="G340" i="2"/>
  <c r="G334" i="2" s="1"/>
  <c r="F334" i="2"/>
  <c r="G442" i="2"/>
  <c r="G436" i="2" s="1"/>
  <c r="F436" i="2"/>
  <c r="H456" i="2"/>
  <c r="C456" i="2"/>
  <c r="H361" i="2"/>
  <c r="C361" i="2"/>
  <c r="C48" i="3"/>
  <c r="M48" i="3" s="1"/>
  <c r="M47" i="3"/>
  <c r="H26" i="1"/>
  <c r="I205" i="1"/>
  <c r="J233" i="1"/>
  <c r="H197" i="2" s="1"/>
  <c r="K233" i="1"/>
  <c r="L233" i="1"/>
  <c r="M233" i="1"/>
  <c r="F216" i="2" l="1"/>
  <c r="K37" i="1" s="1"/>
  <c r="O37" i="1" s="1"/>
  <c r="G224" i="2"/>
  <c r="G216" i="2" s="1"/>
  <c r="K38" i="1" s="1"/>
  <c r="F135" i="2"/>
  <c r="L18" i="1"/>
  <c r="H236" i="1"/>
  <c r="H20" i="1" s="1"/>
  <c r="H117" i="2"/>
  <c r="C117" i="2"/>
  <c r="H237" i="1"/>
  <c r="K169" i="1"/>
  <c r="H258" i="2" s="1"/>
  <c r="L169" i="1"/>
  <c r="H357" i="2" s="1"/>
  <c r="M169" i="1"/>
  <c r="H201" i="1"/>
  <c r="D82" i="2"/>
  <c r="D32" i="2"/>
  <c r="H82" i="2"/>
  <c r="O38" i="1" l="1"/>
  <c r="P37" i="1" s="1"/>
  <c r="O134" i="2"/>
  <c r="O135" i="2" s="1"/>
  <c r="J37" i="1"/>
  <c r="J22" i="1" s="1"/>
  <c r="G135" i="2"/>
  <c r="H136" i="2" s="1"/>
  <c r="I83" i="2"/>
  <c r="H202" i="1"/>
  <c r="H183" i="2"/>
  <c r="F82" i="2"/>
  <c r="H44" i="1"/>
  <c r="G19" i="2" l="1"/>
  <c r="J38" i="1"/>
  <c r="G82" i="2"/>
  <c r="H38" i="1" l="1"/>
  <c r="J23" i="1"/>
  <c r="J18" i="1" s="1"/>
  <c r="D12" i="4"/>
  <c r="C32" i="2"/>
  <c r="F6" i="11" l="1"/>
  <c r="F19" i="2" l="1"/>
  <c r="I22" i="1" l="1"/>
  <c r="H37" i="1"/>
  <c r="I18" i="1" l="1"/>
  <c r="F234" i="2" l="1"/>
  <c r="C231" i="2"/>
  <c r="G241" i="2"/>
  <c r="G255" i="2"/>
  <c r="G250" i="2"/>
  <c r="G242" i="2"/>
  <c r="G238" i="2"/>
  <c r="G253" i="2"/>
  <c r="G240" i="2"/>
  <c r="G239" i="2"/>
  <c r="G234" i="2" l="1"/>
  <c r="G231" i="2" s="1"/>
  <c r="K136" i="1" s="1"/>
  <c r="F231" i="2"/>
  <c r="I231" i="2" s="1"/>
  <c r="K135" i="1" l="1"/>
  <c r="H253" i="1" l="1"/>
  <c r="F268" i="2" l="1"/>
  <c r="G268" i="2" l="1"/>
  <c r="H293" i="1"/>
  <c r="F306" i="2"/>
  <c r="G306" i="2" l="1"/>
  <c r="K139" i="1" l="1"/>
  <c r="H139" i="1"/>
  <c r="F248" i="2"/>
  <c r="I248" i="2" s="1"/>
  <c r="I249" i="2" s="1"/>
  <c r="K165" i="1" l="1"/>
  <c r="G248" i="2"/>
  <c r="K166" i="1" s="1"/>
  <c r="H166" i="1" s="1"/>
  <c r="C248" i="2"/>
  <c r="J247" i="2" s="1"/>
  <c r="O164" i="1" l="1"/>
  <c r="P164" i="1" s="1"/>
  <c r="P166" i="1" s="1"/>
  <c r="H165" i="1"/>
  <c r="C457" i="2" l="1"/>
  <c r="H41" i="1"/>
  <c r="M41" i="1"/>
  <c r="F457" i="2"/>
  <c r="M402" i="1" s="1"/>
  <c r="G458" i="2"/>
  <c r="G457" i="2" s="1"/>
  <c r="M136" i="1" l="1"/>
  <c r="M403" i="1"/>
  <c r="I458" i="2"/>
  <c r="I474" i="2" s="1"/>
  <c r="M135" i="1"/>
  <c r="M23" i="1" l="1"/>
  <c r="H136" i="1"/>
  <c r="H135" i="1"/>
  <c r="M22" i="1"/>
  <c r="M18" i="1" l="1"/>
  <c r="G267" i="2" l="1"/>
  <c r="K403" i="1" s="1"/>
  <c r="O397" i="1" l="1"/>
  <c r="K23" i="1"/>
  <c r="H403" i="1"/>
  <c r="H23" i="1" l="1"/>
  <c r="F267" i="2"/>
  <c r="J281" i="2" l="1"/>
  <c r="K281" i="2" s="1"/>
  <c r="I267" i="2"/>
  <c r="K402" i="1"/>
  <c r="K252" i="1" l="1"/>
  <c r="C267" i="2"/>
  <c r="K254" i="2"/>
  <c r="H402" i="1"/>
  <c r="O411" i="1"/>
  <c r="Q411" i="1" s="1"/>
  <c r="K22" i="1"/>
  <c r="H22" i="1" l="1"/>
  <c r="H18" i="1" s="1"/>
  <c r="K18" i="1"/>
  <c r="H252" i="1"/>
  <c r="H241" i="1" s="1"/>
  <c r="K241" i="1"/>
  <c r="H187" i="2"/>
  <c r="I137" i="2"/>
  <c r="H137" i="2"/>
</calcChain>
</file>

<file path=xl/comments1.xml><?xml version="1.0" encoding="utf-8"?>
<comments xmlns="http://schemas.openxmlformats.org/spreadsheetml/2006/main">
  <authors>
    <author>Автор</author>
  </authors>
  <commentList>
    <comment ref="B22" authorId="0">
      <text>
        <r>
          <rPr>
            <b/>
            <sz val="9"/>
            <color indexed="81"/>
            <rFont val="Tahoma"/>
            <family val="2"/>
            <charset val="204"/>
          </rPr>
          <t>Автор:</t>
        </r>
        <r>
          <rPr>
            <sz val="9"/>
            <color indexed="81"/>
            <rFont val="Tahoma"/>
            <family val="2"/>
            <charset val="204"/>
          </rPr>
          <t xml:space="preserve">
включая бюджет Орловской области
</t>
        </r>
      </text>
    </comment>
    <comment ref="F25" authorId="0">
      <text>
        <r>
          <rPr>
            <b/>
            <sz val="9"/>
            <color indexed="81"/>
            <rFont val="Tahoma"/>
            <family val="2"/>
            <charset val="204"/>
          </rPr>
          <t>Автор:</t>
        </r>
        <r>
          <rPr>
            <sz val="9"/>
            <color indexed="81"/>
            <rFont val="Tahoma"/>
            <family val="2"/>
            <charset val="204"/>
          </rPr>
          <t xml:space="preserve">
+площ.1530кв.м площадь по Калинникова</t>
        </r>
      </text>
    </comment>
    <comment ref="I27" authorId="0">
      <text>
        <r>
          <rPr>
            <b/>
            <sz val="9"/>
            <color indexed="81"/>
            <rFont val="Tahoma"/>
            <family val="2"/>
            <charset val="204"/>
          </rPr>
          <t>Автор:</t>
        </r>
        <r>
          <rPr>
            <sz val="9"/>
            <color indexed="81"/>
            <rFont val="Tahoma"/>
            <family val="2"/>
            <charset val="204"/>
          </rPr>
          <t xml:space="preserve">
146 тысяч это разница между 300-500 лимитов
</t>
        </r>
      </text>
    </comment>
    <comment ref="J27" authorId="0">
      <text>
        <r>
          <rPr>
            <b/>
            <sz val="9"/>
            <color indexed="81"/>
            <rFont val="Tahoma"/>
            <family val="2"/>
            <charset val="204"/>
          </rPr>
          <t>Автор:</t>
        </r>
        <r>
          <rPr>
            <sz val="9"/>
            <color indexed="81"/>
            <rFont val="Tahoma"/>
            <family val="2"/>
            <charset val="204"/>
          </rPr>
          <t xml:space="preserve">
2 293,87169 ограждения мост Дружба ГОРОД
минус кредиторка
42 906 060,61 по РАСПОРЯЖЕНИЮ ОБЛАСТИ ДОП на Содержание (САБ)
</t>
        </r>
      </text>
    </comment>
    <comment ref="I28" authorId="0">
      <text>
        <r>
          <rPr>
            <b/>
            <sz val="9"/>
            <color indexed="81"/>
            <rFont val="Tahoma"/>
            <family val="2"/>
            <charset val="204"/>
          </rPr>
          <t>Автор:</t>
        </r>
        <r>
          <rPr>
            <sz val="9"/>
            <color indexed="81"/>
            <rFont val="Tahoma"/>
            <family val="2"/>
            <charset val="204"/>
          </rPr>
          <t xml:space="preserve">
КЗ 675,88936</t>
        </r>
      </text>
    </comment>
    <comment ref="J28" authorId="0">
      <text>
        <r>
          <rPr>
            <b/>
            <sz val="9"/>
            <color indexed="81"/>
            <rFont val="Tahoma"/>
            <family val="2"/>
            <charset val="204"/>
          </rPr>
          <t>Автор:</t>
        </r>
        <r>
          <rPr>
            <sz val="9"/>
            <color indexed="81"/>
            <rFont val="Tahoma"/>
            <family val="2"/>
            <charset val="204"/>
          </rPr>
          <t xml:space="preserve">
2005,200-дор.фонд на Калинникова с МП 2 на МП 1 в ямочный ремонт</t>
        </r>
      </text>
    </comment>
    <comment ref="I29" authorId="0">
      <text>
        <r>
          <rPr>
            <b/>
            <sz val="9"/>
            <color indexed="81"/>
            <rFont val="Tahoma"/>
            <family val="2"/>
            <charset val="204"/>
          </rPr>
          <t>Автор:</t>
        </r>
        <r>
          <rPr>
            <sz val="9"/>
            <color indexed="81"/>
            <rFont val="Tahoma"/>
            <family val="2"/>
            <charset val="204"/>
          </rPr>
          <t xml:space="preserve">
сумма по факту, 
28 ед.</t>
        </r>
      </text>
    </comment>
    <comment ref="J29" authorId="0">
      <text>
        <r>
          <rPr>
            <b/>
            <sz val="9"/>
            <color indexed="81"/>
            <rFont val="Tahoma"/>
            <family val="2"/>
            <charset val="204"/>
          </rPr>
          <t>Автор:</t>
        </r>
        <r>
          <rPr>
            <sz val="9"/>
            <color indexed="81"/>
            <rFont val="Tahoma"/>
            <family val="2"/>
            <charset val="204"/>
          </rPr>
          <t xml:space="preserve">
17 ед.</t>
        </r>
      </text>
    </comment>
    <comment ref="I30" authorId="0">
      <text>
        <r>
          <rPr>
            <b/>
            <sz val="9"/>
            <color indexed="81"/>
            <rFont val="Tahoma"/>
            <family val="2"/>
            <charset val="204"/>
          </rPr>
          <t>Автор:</t>
        </r>
        <r>
          <rPr>
            <sz val="9"/>
            <color indexed="81"/>
            <rFont val="Tahoma"/>
            <family val="2"/>
            <charset val="204"/>
          </rPr>
          <t xml:space="preserve">
КЗ 8185,81010;
11 313 сняты в пользу остановок;
забрали только 5205,840 Заречка</t>
        </r>
      </text>
    </comment>
    <comment ref="J30" authorId="0">
      <text>
        <r>
          <rPr>
            <b/>
            <sz val="9"/>
            <color indexed="81"/>
            <rFont val="Tahoma"/>
            <family val="2"/>
            <charset val="204"/>
          </rPr>
          <t>Автор:</t>
        </r>
        <r>
          <rPr>
            <sz val="9"/>
            <color indexed="81"/>
            <rFont val="Tahoma"/>
            <family val="2"/>
            <charset val="204"/>
          </rPr>
          <t xml:space="preserve">
25 000-камеры 170шт.+ПО
2 708,102 и 2 876,648 на светофоры Пионерская
6 437,0173 информационная безопасность (ФСБ)</t>
        </r>
      </text>
    </comment>
    <comment ref="K31" authorId="0">
      <text>
        <r>
          <rPr>
            <b/>
            <sz val="9"/>
            <color indexed="81"/>
            <rFont val="Tahoma"/>
            <family val="2"/>
            <charset val="204"/>
          </rPr>
          <t>Автор:</t>
        </r>
        <r>
          <rPr>
            <sz val="9"/>
            <color indexed="81"/>
            <rFont val="Tahoma"/>
            <family val="2"/>
            <charset val="204"/>
          </rPr>
          <t xml:space="preserve">
городские деньги, сумма по контракту</t>
        </r>
      </text>
    </comment>
    <comment ref="I32" authorId="0">
      <text>
        <r>
          <rPr>
            <b/>
            <sz val="9"/>
            <color indexed="81"/>
            <rFont val="Tahoma"/>
            <family val="2"/>
            <charset val="204"/>
          </rPr>
          <t>Автор:</t>
        </r>
        <r>
          <rPr>
            <sz val="9"/>
            <color indexed="81"/>
            <rFont val="Tahoma"/>
            <family val="2"/>
            <charset val="204"/>
          </rPr>
          <t xml:space="preserve">
777,70869 сняты в пользу остановок на регламентные 
(12 090,840 руб.)</t>
        </r>
      </text>
    </comment>
    <comment ref="J32" authorId="0">
      <text>
        <r>
          <rPr>
            <b/>
            <sz val="9"/>
            <color indexed="81"/>
            <rFont val="Tahoma"/>
            <family val="2"/>
            <charset val="204"/>
          </rPr>
          <t>Автор:</t>
        </r>
        <r>
          <rPr>
            <sz val="9"/>
            <color indexed="81"/>
            <rFont val="Tahoma"/>
            <family val="2"/>
            <charset val="204"/>
          </rPr>
          <t xml:space="preserve">
14000-освещение подмостовых пространств
+Зеленстрой
+ освещение к подходам мостов
</t>
        </r>
      </text>
    </comment>
    <comment ref="I33" authorId="0">
      <text>
        <r>
          <rPr>
            <b/>
            <sz val="9"/>
            <color indexed="81"/>
            <rFont val="Tahoma"/>
            <family val="2"/>
            <charset val="204"/>
          </rPr>
          <t>Автор:</t>
        </r>
        <r>
          <rPr>
            <sz val="9"/>
            <color indexed="81"/>
            <rFont val="Tahoma"/>
            <family val="2"/>
            <charset val="204"/>
          </rPr>
          <t xml:space="preserve">
мосты по факту: Ботаника, Костамаровский и вантовый на Горького</t>
        </r>
      </text>
    </comment>
    <comment ref="K34" authorId="0">
      <text>
        <r>
          <rPr>
            <b/>
            <sz val="9"/>
            <color indexed="81"/>
            <rFont val="Tahoma"/>
            <family val="2"/>
            <charset val="204"/>
          </rPr>
          <t>Автор:
89 172,44936-кред.задолженность САБ</t>
        </r>
      </text>
    </comment>
    <comment ref="B44" authorId="0">
      <text>
        <r>
          <rPr>
            <b/>
            <sz val="9"/>
            <color indexed="81"/>
            <rFont val="Tahoma"/>
            <family val="2"/>
            <charset val="204"/>
          </rPr>
          <t>Автор:</t>
        </r>
        <r>
          <rPr>
            <sz val="9"/>
            <color indexed="81"/>
            <rFont val="Tahoma"/>
            <family val="2"/>
            <charset val="204"/>
          </rPr>
          <t xml:space="preserve">
перильные ограждения</t>
        </r>
      </text>
    </comment>
    <comment ref="I44" authorId="0">
      <text>
        <r>
          <rPr>
            <b/>
            <sz val="9"/>
            <color indexed="81"/>
            <rFont val="Tahoma"/>
            <family val="2"/>
            <charset val="204"/>
          </rPr>
          <t>Автор:</t>
        </r>
        <r>
          <rPr>
            <sz val="9"/>
            <color indexed="81"/>
            <rFont val="Tahoma"/>
            <family val="2"/>
            <charset val="204"/>
          </rPr>
          <t xml:space="preserve">
цифра по экспертизе
12 505,79 ФАКТ 2022 года</t>
        </r>
      </text>
    </comment>
    <comment ref="F47" authorId="0">
      <text>
        <r>
          <rPr>
            <b/>
            <sz val="9"/>
            <color indexed="81"/>
            <rFont val="Tahoma"/>
            <family val="2"/>
            <charset val="204"/>
          </rPr>
          <t>Автор:</t>
        </r>
        <r>
          <rPr>
            <sz val="9"/>
            <color indexed="81"/>
            <rFont val="Tahoma"/>
            <family val="2"/>
            <charset val="204"/>
          </rPr>
          <t xml:space="preserve">
асфальт по протяженности 970 метров, две полосы в одну сторону</t>
        </r>
      </text>
    </comment>
    <comment ref="G47" authorId="0">
      <text>
        <r>
          <rPr>
            <b/>
            <sz val="9"/>
            <color indexed="81"/>
            <rFont val="Tahoma"/>
            <family val="2"/>
            <charset val="204"/>
          </rPr>
          <t>Автор:</t>
        </r>
        <r>
          <rPr>
            <sz val="9"/>
            <color indexed="81"/>
            <rFont val="Tahoma"/>
            <family val="2"/>
            <charset val="204"/>
          </rPr>
          <t xml:space="preserve">
протяженность первого этапа</t>
        </r>
      </text>
    </comment>
    <comment ref="I57" authorId="0">
      <text>
        <r>
          <rPr>
            <b/>
            <sz val="9"/>
            <color indexed="81"/>
            <rFont val="Tahoma"/>
            <family val="2"/>
            <charset val="204"/>
          </rPr>
          <t>Автор:</t>
        </r>
        <r>
          <rPr>
            <sz val="9"/>
            <color indexed="81"/>
            <rFont val="Tahoma"/>
            <family val="2"/>
            <charset val="204"/>
          </rPr>
          <t xml:space="preserve">
перенесено в незадействованный остаток</t>
        </r>
      </text>
    </comment>
    <comment ref="B58" authorId="0">
      <text>
        <r>
          <rPr>
            <b/>
            <sz val="9"/>
            <color indexed="81"/>
            <rFont val="Tahoma"/>
            <family val="2"/>
            <charset val="204"/>
          </rPr>
          <t>Автор:</t>
        </r>
        <r>
          <rPr>
            <sz val="9"/>
            <color indexed="81"/>
            <rFont val="Tahoma"/>
            <family val="2"/>
            <charset val="204"/>
          </rPr>
          <t xml:space="preserve">
ОМЗ</t>
        </r>
      </text>
    </comment>
    <comment ref="B59" authorId="0">
      <text>
        <r>
          <rPr>
            <b/>
            <sz val="9"/>
            <color indexed="81"/>
            <rFont val="Tahoma"/>
            <family val="2"/>
            <charset val="204"/>
          </rPr>
          <t>Автор:</t>
        </r>
        <r>
          <rPr>
            <sz val="9"/>
            <color indexed="81"/>
            <rFont val="Tahoma"/>
            <family val="2"/>
            <charset val="204"/>
          </rPr>
          <t xml:space="preserve">
ОМЗ</t>
        </r>
      </text>
    </comment>
    <comment ref="B119" authorId="0">
      <text>
        <r>
          <rPr>
            <b/>
            <sz val="9"/>
            <color indexed="81"/>
            <rFont val="Tahoma"/>
            <family val="2"/>
            <charset val="204"/>
          </rPr>
          <t>Автор:</t>
        </r>
        <r>
          <rPr>
            <sz val="9"/>
            <color indexed="81"/>
            <rFont val="Tahoma"/>
            <family val="2"/>
            <charset val="204"/>
          </rPr>
          <t xml:space="preserve">
проезжая часть</t>
        </r>
      </text>
    </comment>
    <comment ref="B120" authorId="0">
      <text>
        <r>
          <rPr>
            <b/>
            <sz val="9"/>
            <color indexed="81"/>
            <rFont val="Tahoma"/>
            <family val="2"/>
            <charset val="204"/>
          </rPr>
          <t>Автор:</t>
        </r>
        <r>
          <rPr>
            <sz val="9"/>
            <color indexed="81"/>
            <rFont val="Tahoma"/>
            <family val="2"/>
            <charset val="204"/>
          </rPr>
          <t xml:space="preserve">
решение суда</t>
        </r>
      </text>
    </comment>
    <comment ref="I127" authorId="0">
      <text>
        <r>
          <rPr>
            <b/>
            <sz val="9"/>
            <color indexed="81"/>
            <rFont val="Tahoma"/>
            <family val="2"/>
            <charset val="204"/>
          </rPr>
          <t>Автор:</t>
        </r>
        <r>
          <rPr>
            <sz val="9"/>
            <color indexed="81"/>
            <rFont val="Tahoma"/>
            <family val="2"/>
            <charset val="204"/>
          </rPr>
          <t xml:space="preserve">
две КС
7273,870798 оплачено
12 млн. оплачено</t>
        </r>
      </text>
    </comment>
    <comment ref="I130" authorId="0">
      <text>
        <r>
          <rPr>
            <b/>
            <sz val="9"/>
            <color indexed="81"/>
            <rFont val="Tahoma"/>
            <family val="2"/>
            <charset val="204"/>
          </rPr>
          <t>Автор:</t>
        </r>
        <r>
          <rPr>
            <sz val="9"/>
            <color indexed="81"/>
            <rFont val="Tahoma"/>
            <family val="2"/>
            <charset val="204"/>
          </rPr>
          <t xml:space="preserve">
тротуары МОПРа+ул.Генерала армии Ковалева+БШ 2 этап оплаченная КС
</t>
        </r>
      </text>
    </comment>
    <comment ref="I131" authorId="0">
      <text>
        <r>
          <rPr>
            <b/>
            <sz val="9"/>
            <color indexed="81"/>
            <rFont val="Tahoma"/>
            <family val="2"/>
            <charset val="204"/>
          </rPr>
          <t>Автор:</t>
        </r>
        <r>
          <rPr>
            <sz val="9"/>
            <color indexed="81"/>
            <rFont val="Tahoma"/>
            <family val="2"/>
            <charset val="204"/>
          </rPr>
          <t xml:space="preserve">
минус общая сумма по светофорам;
минус 7962,80067 по распоряжению 935-р от 29.11.2022 на регламентные МП 1
1052,43926 ФАКТ ПСД</t>
        </r>
      </text>
    </comment>
    <comment ref="J131" authorId="0">
      <text>
        <r>
          <rPr>
            <b/>
            <sz val="9"/>
            <color indexed="81"/>
            <rFont val="Tahoma"/>
            <family val="2"/>
            <charset val="204"/>
          </rPr>
          <t>Автор:</t>
        </r>
        <r>
          <rPr>
            <sz val="9"/>
            <color indexed="81"/>
            <rFont val="Tahoma"/>
            <family val="2"/>
            <charset val="204"/>
          </rPr>
          <t xml:space="preserve">
на тротуары по ул.Революции №29</t>
        </r>
      </text>
    </comment>
    <comment ref="I132" authorId="0">
      <text>
        <r>
          <rPr>
            <b/>
            <sz val="9"/>
            <color indexed="81"/>
            <rFont val="Tahoma"/>
            <family val="2"/>
            <charset val="204"/>
          </rPr>
          <t>Автор:</t>
        </r>
        <r>
          <rPr>
            <sz val="9"/>
            <color indexed="81"/>
            <rFont val="Tahoma"/>
            <family val="2"/>
            <charset val="204"/>
          </rPr>
          <t xml:space="preserve">
Тургеневский мост
ул.Мостовая
Генерала Родина
Наугорское шоссе
Кромской прое;зд
ул.Базовая
перенесены 15 000,00 тыс.рублей устройство остановочных павильонов</t>
        </r>
      </text>
    </comment>
    <comment ref="J145" authorId="0">
      <text>
        <r>
          <rPr>
            <b/>
            <sz val="9"/>
            <color indexed="81"/>
            <rFont val="Tahoma"/>
            <family val="2"/>
            <charset val="204"/>
          </rPr>
          <t>Автор:</t>
        </r>
        <r>
          <rPr>
            <sz val="9"/>
            <color indexed="81"/>
            <rFont val="Tahoma"/>
            <family val="2"/>
            <charset val="204"/>
          </rPr>
          <t xml:space="preserve">
сумма по контракту
</t>
        </r>
      </text>
    </comment>
    <comment ref="I166" authorId="0">
      <text>
        <r>
          <rPr>
            <b/>
            <sz val="9"/>
            <color indexed="81"/>
            <rFont val="Tahoma"/>
            <family val="2"/>
            <charset val="204"/>
          </rPr>
          <t>Автор:</t>
        </r>
        <r>
          <rPr>
            <sz val="9"/>
            <color indexed="81"/>
            <rFont val="Tahoma"/>
            <family val="2"/>
            <charset val="204"/>
          </rPr>
          <t xml:space="preserve">
КЗ 173 595,14 руб.</t>
        </r>
      </text>
    </comment>
    <comment ref="B169" authorId="0">
      <text>
        <r>
          <rPr>
            <b/>
            <sz val="9"/>
            <color indexed="81"/>
            <rFont val="Tahoma"/>
            <family val="2"/>
            <charset val="204"/>
          </rPr>
          <t>Автор:</t>
        </r>
        <r>
          <rPr>
            <sz val="9"/>
            <color indexed="81"/>
            <rFont val="Tahoma"/>
            <family val="2"/>
            <charset val="204"/>
          </rPr>
          <t xml:space="preserve">
сфетофоры</t>
        </r>
      </text>
    </comment>
    <comment ref="B189" authorId="0">
      <text>
        <r>
          <rPr>
            <b/>
            <sz val="9"/>
            <color indexed="81"/>
            <rFont val="Tahoma"/>
            <family val="2"/>
            <charset val="204"/>
          </rPr>
          <t>Автор:</t>
        </r>
        <r>
          <rPr>
            <sz val="9"/>
            <color indexed="81"/>
            <rFont val="Tahoma"/>
            <family val="2"/>
            <charset val="204"/>
          </rPr>
          <t xml:space="preserve">
ИКСИС
</t>
        </r>
      </text>
    </comment>
    <comment ref="I195" authorId="0">
      <text>
        <r>
          <rPr>
            <b/>
            <sz val="9"/>
            <color indexed="81"/>
            <rFont val="Tahoma"/>
            <family val="2"/>
            <charset val="204"/>
          </rPr>
          <t>Автор:</t>
        </r>
        <r>
          <rPr>
            <sz val="9"/>
            <color indexed="81"/>
            <rFont val="Tahoma"/>
            <family val="2"/>
            <charset val="204"/>
          </rPr>
          <t xml:space="preserve">
сняли с освещения Молдавки</t>
        </r>
      </text>
    </comment>
    <comment ref="J195" authorId="0">
      <text>
        <r>
          <rPr>
            <b/>
            <sz val="9"/>
            <color indexed="81"/>
            <rFont val="Tahoma"/>
            <family val="2"/>
            <charset val="204"/>
          </rPr>
          <t>Автор:</t>
        </r>
        <r>
          <rPr>
            <sz val="9"/>
            <color indexed="81"/>
            <rFont val="Tahoma"/>
            <family val="2"/>
            <charset val="204"/>
          </rPr>
          <t xml:space="preserve">
двигали деньги
</t>
        </r>
      </text>
    </comment>
    <comment ref="K205" authorId="0">
      <text>
        <r>
          <rPr>
            <b/>
            <sz val="9"/>
            <color indexed="81"/>
            <rFont val="Tahoma"/>
            <family val="2"/>
            <charset val="204"/>
          </rPr>
          <t>Автор:</t>
        </r>
        <r>
          <rPr>
            <sz val="9"/>
            <color indexed="81"/>
            <rFont val="Tahoma"/>
            <family val="2"/>
            <charset val="204"/>
          </rPr>
          <t xml:space="preserve">
не было город.доли</t>
        </r>
      </text>
    </comment>
    <comment ref="J209" authorId="0">
      <text>
        <r>
          <rPr>
            <b/>
            <sz val="9"/>
            <color indexed="81"/>
            <rFont val="Tahoma"/>
            <family val="2"/>
            <charset val="204"/>
          </rPr>
          <t>Автор:</t>
        </r>
        <r>
          <rPr>
            <sz val="9"/>
            <color indexed="81"/>
            <rFont val="Tahoma"/>
            <family val="2"/>
            <charset val="204"/>
          </rPr>
          <t xml:space="preserve">
письмо Департамента от 09.01.2023 исх.5-1-15 (вх.44)</t>
        </r>
      </text>
    </comment>
    <comment ref="J210" authorId="0">
      <text>
        <r>
          <rPr>
            <b/>
            <sz val="9"/>
            <color indexed="81"/>
            <rFont val="Tahoma"/>
            <family val="2"/>
            <charset val="204"/>
          </rPr>
          <t>Автор:</t>
        </r>
        <r>
          <rPr>
            <sz val="9"/>
            <color indexed="81"/>
            <rFont val="Tahoma"/>
            <family val="2"/>
            <charset val="204"/>
          </rPr>
          <t xml:space="preserve">
письмо ОМЗ, законтрактовано на 25тысяч меньше, отзыв</t>
        </r>
      </text>
    </comment>
    <comment ref="I218" authorId="0">
      <text>
        <r>
          <rPr>
            <b/>
            <sz val="9"/>
            <color indexed="81"/>
            <rFont val="Tahoma"/>
            <family val="2"/>
            <charset val="204"/>
          </rPr>
          <t>Автор:</t>
        </r>
        <r>
          <rPr>
            <sz val="9"/>
            <color indexed="81"/>
            <rFont val="Tahoma"/>
            <family val="2"/>
            <charset val="204"/>
          </rPr>
          <t xml:space="preserve">
1779 это деньги город с Красного моста
400-нанесение дорож.разметки в МП 4
800-на светофор Генерала Родина и Труд.резервы 
890,984-разница с ул.Генерала Ковалева по факту  под контракт
1361,583 под контракт ФАКТ</t>
        </r>
      </text>
    </comment>
    <comment ref="L222" authorId="0">
      <text>
        <r>
          <rPr>
            <b/>
            <sz val="9"/>
            <color indexed="81"/>
            <rFont val="Tahoma"/>
            <family val="2"/>
            <charset val="204"/>
          </rPr>
          <t>Автор:</t>
        </r>
        <r>
          <rPr>
            <sz val="9"/>
            <color indexed="81"/>
            <rFont val="Tahoma"/>
            <family val="2"/>
            <charset val="204"/>
          </rPr>
          <t xml:space="preserve">
письмо ОМЗ от 26.05.2023 определена пред.стоимость объекта 25,35 млн  руб.</t>
        </r>
      </text>
    </comment>
    <comment ref="I236" authorId="0">
      <text>
        <r>
          <rPr>
            <b/>
            <sz val="9"/>
            <color indexed="81"/>
            <rFont val="Tahoma"/>
            <family val="2"/>
            <charset val="204"/>
          </rPr>
          <t>Автор:</t>
        </r>
        <r>
          <rPr>
            <sz val="9"/>
            <color indexed="81"/>
            <rFont val="Tahoma"/>
            <family val="2"/>
            <charset val="204"/>
          </rPr>
          <t xml:space="preserve">
размер межбюдж.трансферта по соглашению</t>
        </r>
      </text>
    </comment>
    <comment ref="J236" authorId="0">
      <text>
        <r>
          <rPr>
            <b/>
            <sz val="12"/>
            <color indexed="81"/>
            <rFont val="Tahoma"/>
            <family val="2"/>
            <charset val="204"/>
          </rPr>
          <t>Автор:</t>
        </r>
        <r>
          <rPr>
            <sz val="12"/>
            <color indexed="81"/>
            <rFont val="Tahoma"/>
            <family val="2"/>
            <charset val="204"/>
          </rPr>
          <t xml:space="preserve">
ДОП.фед.денег по письму от 12.10.2023 50+665,5328</t>
        </r>
      </text>
    </comment>
    <comment ref="I237" authorId="0">
      <text>
        <r>
          <rPr>
            <b/>
            <sz val="9"/>
            <color indexed="81"/>
            <rFont val="Tahoma"/>
            <family val="2"/>
            <charset val="204"/>
          </rPr>
          <t>Автор:</t>
        </r>
        <r>
          <rPr>
            <sz val="9"/>
            <color indexed="81"/>
            <rFont val="Tahoma"/>
            <family val="2"/>
            <charset val="204"/>
          </rPr>
          <t xml:space="preserve">
увеличение по сз от 21.10.2022 № 4463 ОМЗ</t>
        </r>
      </text>
    </comment>
    <comment ref="J237" authorId="0">
      <text>
        <r>
          <rPr>
            <b/>
            <sz val="11"/>
            <color indexed="81"/>
            <rFont val="Tahoma"/>
            <family val="2"/>
            <charset val="204"/>
          </rPr>
          <t>Автор:</t>
        </r>
        <r>
          <rPr>
            <sz val="11"/>
            <color indexed="81"/>
            <rFont val="Tahoma"/>
            <family val="2"/>
            <charset val="204"/>
          </rPr>
          <t xml:space="preserve">
согласно распоряжению от 25.01.2023 №40-р доведены лимиты в размере 1 036 243,5
Согласно письму от 12.10.2023 областные деньги замещаются федеральными </t>
        </r>
      </text>
    </comment>
    <comment ref="K237" authorId="0">
      <text>
        <r>
          <rPr>
            <b/>
            <sz val="11"/>
            <color indexed="81"/>
            <rFont val="Tahoma"/>
            <family val="2"/>
            <charset val="204"/>
          </rPr>
          <t>Автор:</t>
        </r>
        <r>
          <rPr>
            <sz val="11"/>
            <color indexed="81"/>
            <rFont val="Tahoma"/>
            <family val="2"/>
            <charset val="204"/>
          </rPr>
          <t xml:space="preserve">
распоряжение от 29.06.2023 №415-р
часть суммы перенесли на 2023 год по согласованию с Субботиным
80 143,19533 по Доп.соглашению №1
по письму от 12.10.2023 2024 год снимают</t>
        </r>
      </text>
    </comment>
    <comment ref="I238" authorId="0">
      <text>
        <r>
          <rPr>
            <b/>
            <sz val="9"/>
            <color indexed="81"/>
            <rFont val="Tahoma"/>
            <family val="2"/>
            <charset val="204"/>
          </rPr>
          <t>Автор:</t>
        </r>
        <r>
          <rPr>
            <sz val="9"/>
            <color indexed="81"/>
            <rFont val="Tahoma"/>
            <family val="2"/>
            <charset val="204"/>
          </rPr>
          <t xml:space="preserve">
5134,7-городские деньги на Красный мост, софинансирование 1%, довели больше
461,87354 город.доля по распоряжению </t>
        </r>
      </text>
    </comment>
    <comment ref="J238" authorId="0">
      <text>
        <r>
          <rPr>
            <b/>
            <sz val="9"/>
            <color indexed="81"/>
            <rFont val="Tahoma"/>
            <family val="2"/>
            <charset val="204"/>
          </rPr>
          <t>Автор:</t>
        </r>
        <r>
          <rPr>
            <sz val="9"/>
            <color indexed="81"/>
            <rFont val="Tahoma"/>
            <family val="2"/>
            <charset val="204"/>
          </rPr>
          <t xml:space="preserve">
1% софинанс города</t>
        </r>
      </text>
    </comment>
    <comment ref="G245" authorId="0">
      <text>
        <r>
          <rPr>
            <b/>
            <sz val="9"/>
            <color indexed="81"/>
            <rFont val="Tahoma"/>
            <family val="2"/>
            <charset val="204"/>
          </rPr>
          <t>Автор:</t>
        </r>
        <r>
          <rPr>
            <sz val="9"/>
            <color indexed="81"/>
            <rFont val="Tahoma"/>
            <family val="2"/>
            <charset val="204"/>
          </rPr>
          <t xml:space="preserve">
факт
</t>
        </r>
      </text>
    </comment>
    <comment ref="J245" authorId="0">
      <text>
        <r>
          <rPr>
            <b/>
            <sz val="9"/>
            <color indexed="81"/>
            <rFont val="Tahoma"/>
            <family val="2"/>
            <charset val="204"/>
          </rPr>
          <t>Автор:</t>
        </r>
        <r>
          <rPr>
            <sz val="9"/>
            <color indexed="81"/>
            <rFont val="Tahoma"/>
            <family val="2"/>
            <charset val="204"/>
          </rPr>
          <t xml:space="preserve">
факт</t>
        </r>
      </text>
    </comment>
    <comment ref="G246" authorId="0">
      <text>
        <r>
          <rPr>
            <b/>
            <sz val="9"/>
            <color indexed="81"/>
            <rFont val="Tahoma"/>
            <family val="2"/>
            <charset val="204"/>
          </rPr>
          <t>Автор:</t>
        </r>
        <r>
          <rPr>
            <sz val="9"/>
            <color indexed="81"/>
            <rFont val="Tahoma"/>
            <family val="2"/>
            <charset val="204"/>
          </rPr>
          <t xml:space="preserve">
факт</t>
        </r>
      </text>
    </comment>
    <comment ref="J246" authorId="0">
      <text>
        <r>
          <rPr>
            <b/>
            <sz val="9"/>
            <color indexed="81"/>
            <rFont val="Tahoma"/>
            <family val="2"/>
            <charset val="204"/>
          </rPr>
          <t>Автор:</t>
        </r>
        <r>
          <rPr>
            <sz val="9"/>
            <color indexed="81"/>
            <rFont val="Tahoma"/>
            <family val="2"/>
            <charset val="204"/>
          </rPr>
          <t xml:space="preserve">
факт</t>
        </r>
      </text>
    </comment>
    <comment ref="G247" authorId="0">
      <text>
        <r>
          <rPr>
            <b/>
            <sz val="9"/>
            <color indexed="81"/>
            <rFont val="Tahoma"/>
            <family val="2"/>
            <charset val="204"/>
          </rPr>
          <t>Автор:</t>
        </r>
        <r>
          <rPr>
            <sz val="9"/>
            <color indexed="81"/>
            <rFont val="Tahoma"/>
            <family val="2"/>
            <charset val="204"/>
          </rPr>
          <t xml:space="preserve">
факт</t>
        </r>
      </text>
    </comment>
    <comment ref="J247" authorId="0">
      <text>
        <r>
          <rPr>
            <b/>
            <sz val="9"/>
            <color indexed="81"/>
            <rFont val="Tahoma"/>
            <family val="2"/>
            <charset val="204"/>
          </rPr>
          <t>Автор:</t>
        </r>
        <r>
          <rPr>
            <sz val="9"/>
            <color indexed="81"/>
            <rFont val="Tahoma"/>
            <family val="2"/>
            <charset val="204"/>
          </rPr>
          <t xml:space="preserve">
факт</t>
        </r>
      </text>
    </comment>
    <comment ref="G248" authorId="0">
      <text>
        <r>
          <rPr>
            <b/>
            <sz val="9"/>
            <color indexed="81"/>
            <rFont val="Tahoma"/>
            <family val="2"/>
            <charset val="204"/>
          </rPr>
          <t>Автор:</t>
        </r>
        <r>
          <rPr>
            <sz val="9"/>
            <color indexed="81"/>
            <rFont val="Tahoma"/>
            <family val="2"/>
            <charset val="204"/>
          </rPr>
          <t xml:space="preserve">
факт</t>
        </r>
      </text>
    </comment>
    <comment ref="J248" authorId="0">
      <text>
        <r>
          <rPr>
            <b/>
            <sz val="9"/>
            <color indexed="81"/>
            <rFont val="Tahoma"/>
            <family val="2"/>
            <charset val="204"/>
          </rPr>
          <t>Автор:</t>
        </r>
        <r>
          <rPr>
            <sz val="9"/>
            <color indexed="81"/>
            <rFont val="Tahoma"/>
            <family val="2"/>
            <charset val="204"/>
          </rPr>
          <t xml:space="preserve">
факт</t>
        </r>
      </text>
    </comment>
    <comment ref="B251" authorId="0">
      <text>
        <r>
          <rPr>
            <b/>
            <sz val="9"/>
            <color indexed="81"/>
            <rFont val="Tahoma"/>
            <family val="2"/>
            <charset val="204"/>
          </rPr>
          <t>Автор:</t>
        </r>
        <r>
          <rPr>
            <sz val="9"/>
            <color indexed="81"/>
            <rFont val="Tahoma"/>
            <family val="2"/>
            <charset val="204"/>
          </rPr>
          <t xml:space="preserve">
дорога дублер</t>
        </r>
      </text>
    </comment>
    <comment ref="F253" authorId="0">
      <text>
        <r>
          <rPr>
            <b/>
            <sz val="9"/>
            <color indexed="81"/>
            <rFont val="Tahoma"/>
            <family val="2"/>
            <charset val="204"/>
          </rPr>
          <t>Автор:</t>
        </r>
        <r>
          <rPr>
            <sz val="9"/>
            <color indexed="81"/>
            <rFont val="Tahoma"/>
            <family val="2"/>
            <charset val="204"/>
          </rPr>
          <t xml:space="preserve">
цифру дал Митряев</t>
        </r>
      </text>
    </comment>
    <comment ref="K253" authorId="0">
      <text>
        <r>
          <rPr>
            <b/>
            <sz val="9"/>
            <color indexed="81"/>
            <rFont val="Tahoma"/>
            <family val="2"/>
            <charset val="204"/>
          </rPr>
          <t>Автор:</t>
        </r>
        <r>
          <rPr>
            <sz val="9"/>
            <color indexed="81"/>
            <rFont val="Tahoma"/>
            <family val="2"/>
            <charset val="204"/>
          </rPr>
          <t xml:space="preserve">
по распоряжению 101-р от 19.02.2024 перенесли с МП 3 на МП 8</t>
        </r>
      </text>
    </comment>
    <comment ref="B256" authorId="0">
      <text>
        <r>
          <rPr>
            <b/>
            <sz val="9"/>
            <color indexed="81"/>
            <rFont val="Tahoma"/>
            <family val="2"/>
            <charset val="204"/>
          </rPr>
          <t>Автор:</t>
        </r>
        <r>
          <rPr>
            <sz val="9"/>
            <color indexed="81"/>
            <rFont val="Tahoma"/>
            <family val="2"/>
            <charset val="204"/>
          </rPr>
          <t xml:space="preserve">
в обе стороны
</t>
        </r>
      </text>
    </comment>
    <comment ref="J257" authorId="0">
      <text>
        <r>
          <rPr>
            <b/>
            <sz val="9"/>
            <color indexed="81"/>
            <rFont val="Tahoma"/>
            <family val="2"/>
            <charset val="204"/>
          </rPr>
          <t>Автор:</t>
        </r>
        <r>
          <rPr>
            <sz val="9"/>
            <color indexed="81"/>
            <rFont val="Tahoma"/>
            <family val="2"/>
            <charset val="204"/>
          </rPr>
          <t xml:space="preserve">
по распоряжению 101-р от 19.02.2024 доведены ЛБО в размере 25 млн.рублей, на оплату 50% объектов 2023 года</t>
        </r>
      </text>
    </comment>
    <comment ref="K257" authorId="0">
      <text>
        <r>
          <rPr>
            <b/>
            <sz val="9"/>
            <color indexed="81"/>
            <rFont val="Tahoma"/>
            <family val="2"/>
            <charset val="204"/>
          </rPr>
          <t>Автор:</t>
        </r>
        <r>
          <rPr>
            <sz val="9"/>
            <color indexed="81"/>
            <rFont val="Tahoma"/>
            <family val="2"/>
            <charset val="204"/>
          </rPr>
          <t xml:space="preserve">
по распоряжению 101-р от 19.02.2024 доведены ЛБО в размере 25 млн.рублей, на оплату 50% объектов 2023 года</t>
        </r>
      </text>
    </comment>
    <comment ref="B397" authorId="0">
      <text>
        <r>
          <rPr>
            <b/>
            <sz val="9"/>
            <color indexed="81"/>
            <rFont val="Tahoma"/>
            <family val="2"/>
            <charset val="204"/>
          </rPr>
          <t>Автор:</t>
        </r>
        <r>
          <rPr>
            <sz val="9"/>
            <color indexed="81"/>
            <rFont val="Tahoma"/>
            <family val="2"/>
            <charset val="204"/>
          </rPr>
          <t xml:space="preserve">
обустройство велодорожек</t>
        </r>
      </text>
    </comment>
    <comment ref="I399" authorId="0">
      <text>
        <r>
          <rPr>
            <b/>
            <sz val="9"/>
            <color indexed="81"/>
            <rFont val="Tahoma"/>
            <family val="2"/>
            <charset val="204"/>
          </rPr>
          <t>Автор:</t>
        </r>
        <r>
          <rPr>
            <sz val="9"/>
            <color indexed="81"/>
            <rFont val="Tahoma"/>
            <family val="2"/>
            <charset val="204"/>
          </rPr>
          <t xml:space="preserve">
вернули светофоры на МП 8 + хвостик в размере 1 271 тыс.рублей
18 021,04791-остаток от Пионерской</t>
        </r>
      </text>
    </comment>
  </commentList>
</comments>
</file>

<file path=xl/comments2.xml><?xml version="1.0" encoding="utf-8"?>
<comments xmlns="http://schemas.openxmlformats.org/spreadsheetml/2006/main">
  <authors>
    <author>Автор</author>
  </authors>
  <commentList>
    <comment ref="C22" authorId="0">
      <text>
        <r>
          <rPr>
            <b/>
            <sz val="9"/>
            <color indexed="81"/>
            <rFont val="Tahoma"/>
            <family val="2"/>
            <charset val="204"/>
          </rPr>
          <t>Автор:</t>
        </r>
        <r>
          <rPr>
            <sz val="9"/>
            <color indexed="81"/>
            <rFont val="Tahoma"/>
            <family val="2"/>
            <charset val="204"/>
          </rPr>
          <t xml:space="preserve">
340 на дооборудование светофорных объектов 4 шт.</t>
        </r>
      </text>
    </comment>
    <comment ref="G25" authorId="0">
      <text>
        <r>
          <rPr>
            <b/>
            <sz val="9"/>
            <color indexed="81"/>
            <rFont val="Tahoma"/>
            <family val="2"/>
            <charset val="204"/>
          </rPr>
          <t>Автор:</t>
        </r>
        <r>
          <rPr>
            <sz val="9"/>
            <color indexed="81"/>
            <rFont val="Tahoma"/>
            <family val="2"/>
            <charset val="204"/>
          </rPr>
          <t xml:space="preserve">
837,14223-валка деревьев в городских условиях
2 938,86994-текущий ремонт клумб по ул. Ленина
1 163,32-демонтаж пешеходных ограждений
1142,196-установка системы видеонаблюдения Dahua на мостах
876-разработка планов ОТИ
174,27276-тех.присоединение к эл.сетям
300-круглосуточная охрана моста "Красный"</t>
        </r>
      </text>
    </comment>
    <comment ref="B26" authorId="0">
      <text>
        <r>
          <rPr>
            <b/>
            <sz val="9"/>
            <color indexed="81"/>
            <rFont val="Tahoma"/>
            <family val="2"/>
            <charset val="204"/>
          </rPr>
          <t>Автор:</t>
        </r>
        <r>
          <rPr>
            <sz val="9"/>
            <color indexed="81"/>
            <rFont val="Tahoma"/>
            <family val="2"/>
            <charset val="204"/>
          </rPr>
          <t xml:space="preserve">
ямочный ремонт</t>
        </r>
      </text>
    </comment>
    <comment ref="G28" authorId="0">
      <text>
        <r>
          <rPr>
            <b/>
            <sz val="9"/>
            <color indexed="81"/>
            <rFont val="Tahoma"/>
            <family val="2"/>
            <charset val="204"/>
          </rPr>
          <t>Автор:</t>
        </r>
        <r>
          <rPr>
            <sz val="9"/>
            <color indexed="81"/>
            <rFont val="Tahoma"/>
            <family val="2"/>
            <charset val="204"/>
          </rPr>
          <t xml:space="preserve">
153,9846-аренда опор
50,00 экспертиза соответствия выполненных работ техническому заданию МК и локальному проекту ИТС Орловской городской агломерации</t>
        </r>
      </text>
    </comment>
    <comment ref="G80" authorId="0">
      <text>
        <r>
          <rPr>
            <b/>
            <sz val="9"/>
            <color indexed="81"/>
            <rFont val="Tahoma"/>
            <family val="2"/>
            <charset val="204"/>
          </rPr>
          <t>Автор:</t>
        </r>
        <r>
          <rPr>
            <sz val="9"/>
            <color indexed="81"/>
            <rFont val="Tahoma"/>
            <family val="2"/>
            <charset val="204"/>
          </rPr>
          <t xml:space="preserve">
1300 городские
1% от общей 
суммы
ФАКТ 1052,43926 ПСД</t>
        </r>
      </text>
    </comment>
    <comment ref="F88" authorId="0">
      <text>
        <r>
          <rPr>
            <b/>
            <sz val="9"/>
            <color indexed="81"/>
            <rFont val="Tahoma"/>
            <family val="2"/>
            <charset val="204"/>
          </rPr>
          <t>Автор:</t>
        </r>
        <r>
          <rPr>
            <sz val="9"/>
            <color indexed="81"/>
            <rFont val="Tahoma"/>
            <family val="2"/>
            <charset val="204"/>
          </rPr>
          <t xml:space="preserve">
95% софинансирование</t>
        </r>
      </text>
    </comment>
    <comment ref="B108" authorId="0">
      <text>
        <r>
          <rPr>
            <b/>
            <sz val="9"/>
            <color indexed="81"/>
            <rFont val="Tahoma"/>
            <family val="2"/>
            <charset val="204"/>
          </rPr>
          <t>Автор:</t>
        </r>
        <r>
          <rPr>
            <sz val="9"/>
            <color indexed="81"/>
            <rFont val="Tahoma"/>
            <family val="2"/>
            <charset val="204"/>
          </rPr>
          <t xml:space="preserve">
ИКСИС
</t>
        </r>
      </text>
    </comment>
    <comment ref="F128" authorId="0">
      <text>
        <r>
          <rPr>
            <b/>
            <sz val="9"/>
            <color indexed="81"/>
            <rFont val="Tahoma"/>
            <family val="2"/>
            <charset val="204"/>
          </rPr>
          <t>Автор:</t>
        </r>
        <r>
          <rPr>
            <sz val="9"/>
            <color indexed="81"/>
            <rFont val="Tahoma"/>
            <family val="2"/>
            <charset val="204"/>
          </rPr>
          <t xml:space="preserve">
софинанс 5%
</t>
        </r>
      </text>
    </comment>
    <comment ref="F133" authorId="0">
      <text>
        <r>
          <rPr>
            <b/>
            <sz val="9"/>
            <color indexed="81"/>
            <rFont val="Tahoma"/>
            <family val="2"/>
            <charset val="204"/>
          </rPr>
          <t>Автор:</t>
        </r>
        <r>
          <rPr>
            <sz val="9"/>
            <color indexed="81"/>
            <rFont val="Tahoma"/>
            <family val="2"/>
            <charset val="204"/>
          </rPr>
          <t xml:space="preserve">
Жиляева проектирование Лужков
</t>
        </r>
      </text>
    </comment>
    <comment ref="C139" authorId="0">
      <text>
        <r>
          <rPr>
            <b/>
            <sz val="9"/>
            <color indexed="81"/>
            <rFont val="Tahoma"/>
            <family val="2"/>
            <charset val="204"/>
          </rPr>
          <t>Автор:</t>
        </r>
        <r>
          <rPr>
            <sz val="9"/>
            <color indexed="81"/>
            <rFont val="Tahoma"/>
            <family val="2"/>
            <charset val="204"/>
          </rPr>
          <t xml:space="preserve">
с 40 млн ДОПА на остановки 4 500</t>
        </r>
      </text>
    </comment>
    <comment ref="C140" authorId="0">
      <text>
        <r>
          <rPr>
            <b/>
            <sz val="9"/>
            <color indexed="81"/>
            <rFont val="Tahoma"/>
            <family val="2"/>
            <charset val="204"/>
          </rPr>
          <t>Автор:</t>
        </r>
        <r>
          <rPr>
            <sz val="9"/>
            <color indexed="81"/>
            <rFont val="Tahoma"/>
            <family val="2"/>
            <charset val="204"/>
          </rPr>
          <t xml:space="preserve">
2293,87169 сумма по смете</t>
        </r>
      </text>
    </comment>
    <comment ref="C142" authorId="0">
      <text>
        <r>
          <rPr>
            <b/>
            <sz val="9"/>
            <color indexed="81"/>
            <rFont val="Tahoma"/>
            <family val="2"/>
            <charset val="204"/>
          </rPr>
          <t>Автор:</t>
        </r>
        <r>
          <rPr>
            <sz val="9"/>
            <color indexed="81"/>
            <rFont val="Tahoma"/>
            <family val="2"/>
            <charset val="204"/>
          </rPr>
          <t xml:space="preserve">
вх.21226 от 21.12.2022 доведено 900 млн.руб. </t>
        </r>
      </text>
    </comment>
    <comment ref="B150" authorId="0">
      <text>
        <r>
          <rPr>
            <b/>
            <sz val="9"/>
            <color indexed="81"/>
            <rFont val="Tahoma"/>
            <family val="2"/>
            <charset val="204"/>
          </rPr>
          <t>Автор:</t>
        </r>
        <r>
          <rPr>
            <sz val="9"/>
            <color indexed="81"/>
            <rFont val="Tahoma"/>
            <family val="2"/>
            <charset val="204"/>
          </rPr>
          <t xml:space="preserve">
перильные ограждения</t>
        </r>
      </text>
    </comment>
    <comment ref="B151" authorId="0">
      <text>
        <r>
          <rPr>
            <b/>
            <sz val="9"/>
            <color indexed="81"/>
            <rFont val="Tahoma"/>
            <family val="2"/>
            <charset val="204"/>
          </rPr>
          <t>Автор:</t>
        </r>
        <r>
          <rPr>
            <sz val="9"/>
            <color indexed="81"/>
            <rFont val="Tahoma"/>
            <family val="2"/>
            <charset val="204"/>
          </rPr>
          <t xml:space="preserve">
проезжая часть</t>
        </r>
      </text>
    </comment>
    <comment ref="B191" authorId="0">
      <text>
        <r>
          <rPr>
            <b/>
            <sz val="9"/>
            <color indexed="81"/>
            <rFont val="Tahoma"/>
            <family val="2"/>
            <charset val="204"/>
          </rPr>
          <t>Автор:</t>
        </r>
        <r>
          <rPr>
            <sz val="9"/>
            <color indexed="81"/>
            <rFont val="Tahoma"/>
            <family val="2"/>
            <charset val="204"/>
          </rPr>
          <t xml:space="preserve">
сфетофоры</t>
        </r>
      </text>
    </comment>
    <comment ref="C219" authorId="0">
      <text>
        <r>
          <rPr>
            <b/>
            <sz val="9"/>
            <color indexed="81"/>
            <rFont val="Tahoma"/>
            <family val="2"/>
            <charset val="204"/>
          </rPr>
          <t>Автор:</t>
        </r>
        <r>
          <rPr>
            <sz val="9"/>
            <color indexed="81"/>
            <rFont val="Tahoma"/>
            <family val="2"/>
            <charset val="204"/>
          </rPr>
          <t xml:space="preserve">
ОМЗ, заключены контракта</t>
        </r>
      </text>
    </comment>
    <comment ref="C220" authorId="0">
      <text>
        <r>
          <rPr>
            <b/>
            <sz val="9"/>
            <color indexed="81"/>
            <rFont val="Tahoma"/>
            <family val="2"/>
            <charset val="204"/>
          </rPr>
          <t>Автор:</t>
        </r>
        <r>
          <rPr>
            <sz val="9"/>
            <color indexed="81"/>
            <rFont val="Tahoma"/>
            <family val="2"/>
            <charset val="204"/>
          </rPr>
          <t xml:space="preserve">
САБ</t>
        </r>
      </text>
    </comment>
    <comment ref="B221" authorId="0">
      <text>
        <r>
          <rPr>
            <b/>
            <sz val="9"/>
            <color indexed="81"/>
            <rFont val="Tahoma"/>
            <family val="2"/>
            <charset val="204"/>
          </rPr>
          <t>Автор:</t>
        </r>
        <r>
          <rPr>
            <sz val="9"/>
            <color indexed="81"/>
            <rFont val="Tahoma"/>
            <family val="2"/>
            <charset val="204"/>
          </rPr>
          <t xml:space="preserve">
САБ
</t>
        </r>
      </text>
    </comment>
    <comment ref="B222" authorId="0">
      <text>
        <r>
          <rPr>
            <b/>
            <sz val="9"/>
            <color indexed="81"/>
            <rFont val="Tahoma"/>
            <family val="2"/>
            <charset val="204"/>
          </rPr>
          <t>Автор:</t>
        </r>
        <r>
          <rPr>
            <sz val="9"/>
            <color indexed="81"/>
            <rFont val="Tahoma"/>
            <family val="2"/>
            <charset val="204"/>
          </rPr>
          <t xml:space="preserve">
ОМЗ</t>
        </r>
      </text>
    </comment>
    <comment ref="B357" authorId="0">
      <text>
        <r>
          <rPr>
            <b/>
            <sz val="9"/>
            <color indexed="81"/>
            <rFont val="Tahoma"/>
            <family val="2"/>
            <charset val="204"/>
          </rPr>
          <t>Автор:</t>
        </r>
        <r>
          <rPr>
            <sz val="9"/>
            <color indexed="81"/>
            <rFont val="Tahoma"/>
            <family val="2"/>
            <charset val="204"/>
          </rPr>
          <t xml:space="preserve">
сфетофоры</t>
        </r>
      </text>
    </comment>
    <comment ref="B452" authorId="0">
      <text>
        <r>
          <rPr>
            <b/>
            <sz val="9"/>
            <color indexed="81"/>
            <rFont val="Tahoma"/>
            <family val="2"/>
            <charset val="204"/>
          </rPr>
          <t>Автор:</t>
        </r>
        <r>
          <rPr>
            <sz val="9"/>
            <color indexed="81"/>
            <rFont val="Tahoma"/>
            <family val="2"/>
            <charset val="204"/>
          </rPr>
          <t xml:space="preserve">
сфетофоры</t>
        </r>
      </text>
    </comment>
  </commentList>
</comments>
</file>

<file path=xl/comments3.xml><?xml version="1.0" encoding="utf-8"?>
<comments xmlns="http://schemas.openxmlformats.org/spreadsheetml/2006/main">
  <authors>
    <author>Автор</author>
  </authors>
  <commentList>
    <comment ref="E18" authorId="0">
      <text>
        <r>
          <rPr>
            <b/>
            <sz val="9"/>
            <color indexed="81"/>
            <rFont val="Tahoma"/>
            <family val="2"/>
            <charset val="204"/>
          </rPr>
          <t>Автор:</t>
        </r>
        <r>
          <rPr>
            <sz val="9"/>
            <color indexed="81"/>
            <rFont val="Tahoma"/>
            <family val="2"/>
            <charset val="204"/>
          </rPr>
          <t xml:space="preserve">
Площадь МП 2 + МП 3 +МП 8
</t>
        </r>
      </text>
    </comment>
  </commentList>
</comments>
</file>

<file path=xl/comments4.xml><?xml version="1.0" encoding="utf-8"?>
<comments xmlns="http://schemas.openxmlformats.org/spreadsheetml/2006/main">
  <authors>
    <author>Автор</author>
  </authors>
  <commentList>
    <comment ref="D10" authorId="0">
      <text>
        <r>
          <rPr>
            <b/>
            <sz val="9"/>
            <color indexed="81"/>
            <rFont val="Tahoma"/>
            <family val="2"/>
            <charset val="204"/>
          </rPr>
          <t>Автор:</t>
        </r>
        <r>
          <rPr>
            <sz val="9"/>
            <color indexed="81"/>
            <rFont val="Tahoma"/>
            <family val="2"/>
            <charset val="204"/>
          </rPr>
          <t xml:space="preserve">
под частный сектор</t>
        </r>
      </text>
    </comment>
  </commentList>
</comments>
</file>

<file path=xl/comments5.xml><?xml version="1.0" encoding="utf-8"?>
<comments xmlns="http://schemas.openxmlformats.org/spreadsheetml/2006/main">
  <authors>
    <author>Автор</author>
  </authors>
  <commentList>
    <comment ref="D14" authorId="0">
      <text>
        <r>
          <rPr>
            <b/>
            <sz val="9"/>
            <color indexed="81"/>
            <rFont val="Tahoma"/>
            <family val="2"/>
            <charset val="204"/>
          </rPr>
          <t>Автор:</t>
        </r>
        <r>
          <rPr>
            <sz val="9"/>
            <color indexed="81"/>
            <rFont val="Tahoma"/>
            <family val="2"/>
            <charset val="204"/>
          </rPr>
          <t xml:space="preserve">
Протяженность за 2022 по МП2 + МП3
</t>
        </r>
      </text>
    </comment>
  </commentList>
</comments>
</file>

<file path=xl/comments6.xml><?xml version="1.0" encoding="utf-8"?>
<comments xmlns="http://schemas.openxmlformats.org/spreadsheetml/2006/main">
  <authors>
    <author>Автор</author>
  </authors>
  <commentList>
    <comment ref="A26" authorId="0">
      <text>
        <r>
          <rPr>
            <b/>
            <sz val="9"/>
            <color indexed="81"/>
            <rFont val="Tahoma"/>
            <family val="2"/>
            <charset val="204"/>
          </rPr>
          <t>Автор:</t>
        </r>
        <r>
          <rPr>
            <sz val="9"/>
            <color indexed="81"/>
            <rFont val="Tahoma"/>
            <family val="2"/>
            <charset val="204"/>
          </rPr>
          <t xml:space="preserve">
светофоры</t>
        </r>
      </text>
    </comment>
    <comment ref="A28" authorId="0">
      <text>
        <r>
          <rPr>
            <b/>
            <sz val="9"/>
            <color indexed="81"/>
            <rFont val="Tahoma"/>
            <family val="2"/>
            <charset val="204"/>
          </rPr>
          <t>Автор:</t>
        </r>
        <r>
          <rPr>
            <sz val="9"/>
            <color indexed="81"/>
            <rFont val="Tahoma"/>
            <family val="2"/>
            <charset val="204"/>
          </rPr>
          <t xml:space="preserve">
ИКСИС
</t>
        </r>
      </text>
    </comment>
  </commentList>
</comments>
</file>

<file path=xl/comments7.xml><?xml version="1.0" encoding="utf-8"?>
<comments xmlns="http://schemas.openxmlformats.org/spreadsheetml/2006/main">
  <authors>
    <author>Автор</author>
  </authors>
  <commentList>
    <comment ref="F3" authorId="0">
      <text>
        <r>
          <rPr>
            <b/>
            <sz val="9"/>
            <color indexed="81"/>
            <rFont val="Tahoma"/>
            <family val="2"/>
            <charset val="204"/>
          </rPr>
          <t>Автор:</t>
        </r>
        <r>
          <rPr>
            <sz val="9"/>
            <color indexed="81"/>
            <rFont val="Tahoma"/>
            <family val="2"/>
            <charset val="204"/>
          </rPr>
          <t xml:space="preserve">
включая кредит.задолженность 1557 млн.</t>
        </r>
      </text>
    </comment>
  </commentList>
</comments>
</file>

<file path=xl/sharedStrings.xml><?xml version="1.0" encoding="utf-8"?>
<sst xmlns="http://schemas.openxmlformats.org/spreadsheetml/2006/main" count="1503" uniqueCount="904">
  <si>
    <t>Цели, задачи, мероприятия, показатели</t>
  </si>
  <si>
    <t>Ответственный исполнитель</t>
  </si>
  <si>
    <t>Срок</t>
  </si>
  <si>
    <t>начала реализации</t>
  </si>
  <si>
    <t>Результат</t>
  </si>
  <si>
    <t>Объемы финансирования, тыс.руб.</t>
  </si>
  <si>
    <t>2022 год</t>
  </si>
  <si>
    <t>Программная составляющая, всего</t>
  </si>
  <si>
    <t>источники финансирования</t>
  </si>
  <si>
    <t>средства Дорожного фонда Орловской области</t>
  </si>
  <si>
    <t>бюджет города Орла</t>
  </si>
  <si>
    <t>Устройство новых, реконструкция, дооборудование существующих линий электроосвещения в пределах улично-дорожной сети на территории МО "Город Орел"</t>
  </si>
  <si>
    <t>Устройство интеллектуальных транспортных систем по организации дорожного движения в городе Орле в рамках реализации регионального проекта "Программа комплексного развития объединенной дорожной сети Орловской области, а а также Орловской городской агломерации на 2019-2024 годы" национального проекта "Безопасные и качественные автомобильные дороги"</t>
  </si>
  <si>
    <t>Устройство (монтаж) средств организации и регулирования дорожного движения на автомобильных дорогах города Орла</t>
  </si>
  <si>
    <t>Ремонт автомобильных дорог в рамках реализации регионального проекта "Программа комплексного развития объединенной дорожной сети Орловской области,  а также Орловской городской агломерации на 2019-2024 годы" национального проекта "Безопасные и качественные автомобильные дороги"</t>
  </si>
  <si>
    <t>Ремонт автомобильных дорог общего пользования местного значения и искусственных сооружений на них</t>
  </si>
  <si>
    <t>источники финансирования:</t>
  </si>
  <si>
    <t>окончания реализации</t>
  </si>
  <si>
    <t>2023 год</t>
  </si>
  <si>
    <t>2024 год</t>
  </si>
  <si>
    <t>2025 год</t>
  </si>
  <si>
    <t>2026 год</t>
  </si>
  <si>
    <t>регламентные работы;</t>
  </si>
  <si>
    <t>восстановление верхних слоев дорожной одежды;</t>
  </si>
  <si>
    <t>внедрение интеллектуальной  системы управления транспортными потоками</t>
  </si>
  <si>
    <t>содержание искусственных дорожных  сооружений на автомобильных дорогах общего пользования</t>
  </si>
  <si>
    <t>кредиторская задолженность предыдущих лет</t>
  </si>
  <si>
    <t>разработка проектно-сметной документации и проведение проверки достоверности сметной стоимости</t>
  </si>
  <si>
    <t>незадействованный остаток</t>
  </si>
  <si>
    <t>ул. Максима Горького</t>
  </si>
  <si>
    <t>ул. Ломоносова</t>
  </si>
  <si>
    <t>незадействованый остаток</t>
  </si>
  <si>
    <t>установка пешеходных ограждений</t>
  </si>
  <si>
    <t>установка дорожных знаков</t>
  </si>
  <si>
    <t>Разработка и внедрение интеллектуальной транспортной системы в рамках Орловской агломирации на базе муниципального образования "Город Орёл"</t>
  </si>
  <si>
    <t xml:space="preserve">    Приложение № 2</t>
  </si>
  <si>
    <t>Перечень</t>
  </si>
  <si>
    <t>№ п/п</t>
  </si>
  <si>
    <t>На именование объекта</t>
  </si>
  <si>
    <t xml:space="preserve">Ориентировочная стоимость, </t>
  </si>
  <si>
    <t>Иные межбюджетные трансферты</t>
  </si>
  <si>
    <t>Средства бюджета города Орла, тыс. руб.</t>
  </si>
  <si>
    <t>тыс. руб.</t>
  </si>
  <si>
    <t>1.  </t>
  </si>
  <si>
    <t>Содержание улично-дорожной сети города Орла</t>
  </si>
  <si>
    <t>1.1.</t>
  </si>
  <si>
    <t>1.2.</t>
  </si>
  <si>
    <t>1.3.</t>
  </si>
  <si>
    <t>1.4.</t>
  </si>
  <si>
    <t>1.5.</t>
  </si>
  <si>
    <t>2.</t>
  </si>
  <si>
    <t>Устройство (монтаж) средств организации и регулирования дорожного движения на автомобильных дорогах города Орёл</t>
  </si>
  <si>
    <t>4.1</t>
  </si>
  <si>
    <t>4.2</t>
  </si>
  <si>
    <t>4.3</t>
  </si>
  <si>
    <t>Разработка проектно-сметной документации и проведение проверки достоверности сметной стоимости</t>
  </si>
  <si>
    <t xml:space="preserve">Устройство интеллектуальных транспортных систем  по организации дорожного движения в городе Орле в рамках реализации регионального проекта «Программа  комплексного развития объединенной дорожной сети Орловской области, а также Орловской городской агломерации на 2019–2024 годы» национального проекта «Безопасные и качественные автомобильные дороги»   </t>
  </si>
  <si>
    <t>2.1</t>
  </si>
  <si>
    <t>2.2</t>
  </si>
  <si>
    <t>2.3</t>
  </si>
  <si>
    <t>2.4</t>
  </si>
  <si>
    <t>2.5</t>
  </si>
  <si>
    <t>2.7</t>
  </si>
  <si>
    <t>2.8</t>
  </si>
  <si>
    <t>2.9</t>
  </si>
  <si>
    <t>2.10</t>
  </si>
  <si>
    <t>2.11</t>
  </si>
  <si>
    <t>2.12</t>
  </si>
  <si>
    <t>3.1.</t>
  </si>
  <si>
    <t>3.2.</t>
  </si>
  <si>
    <t>3.3.</t>
  </si>
  <si>
    <t>3.4.</t>
  </si>
  <si>
    <t>3.5.</t>
  </si>
  <si>
    <t>кредиторская задолженность 2021 года</t>
  </si>
  <si>
    <t xml:space="preserve"> </t>
  </si>
  <si>
    <t>кв.м/ед.</t>
  </si>
  <si>
    <t>Реконструкция "Красного моста" в г.Орле</t>
  </si>
  <si>
    <t>федеральный бюджет</t>
  </si>
  <si>
    <t>бюджет Орловской области</t>
  </si>
  <si>
    <t>Приложение №1</t>
  </si>
  <si>
    <t>к муниципальной программе</t>
  </si>
  <si>
    <t>"Комплексное развитие улично-дорожной сети</t>
  </si>
  <si>
    <t>города Орла на 2022-2026 годы"</t>
  </si>
  <si>
    <t>Перечень мероприятий муниципальной программы</t>
  </si>
  <si>
    <t>"Комплексное развитие улично-дорожной сети города Орла на 2022-2026 годы"</t>
  </si>
  <si>
    <t>330 пог.м</t>
  </si>
  <si>
    <t>200 шт.</t>
  </si>
  <si>
    <t>улично-дорожной сети города Орла на 2022-2026 годы»</t>
  </si>
  <si>
    <t>4.4</t>
  </si>
  <si>
    <t xml:space="preserve">    Приложение № 3</t>
  </si>
  <si>
    <t>№</t>
  </si>
  <si>
    <t>Наименование ожидаемого результата - конечного результата (индикатора)</t>
  </si>
  <si>
    <t>Ед.изм.</t>
  </si>
  <si>
    <t>Значение целевых показателей</t>
  </si>
  <si>
    <t>кв.м</t>
  </si>
  <si>
    <t>%</t>
  </si>
  <si>
    <t>объект</t>
  </si>
  <si>
    <t>Количество устроенных (смонтированных) средств организации и регулирования дорожного движения на автоомобильных дорогах города Орла</t>
  </si>
  <si>
    <t>Целевые показатели муниципальной программы</t>
  </si>
  <si>
    <t>города Орла на 2022-2026 годы»</t>
  </si>
  <si>
    <t>«Комплексное развитие улично-дорожной сети</t>
  </si>
  <si>
    <t xml:space="preserve">    Приложение № 4</t>
  </si>
  <si>
    <t>Ед. изм.</t>
  </si>
  <si>
    <t>Результат предоставления иного межбюджетного трансферта</t>
  </si>
  <si>
    <t>Доля протяженности автомобильных дорог общего пользования местного значения на территории г.Орла, соответствующих нормативным требованиям к транспортно-эксплуатационным показателям, в общей протяженности указанных автомобильных дорог</t>
  </si>
  <si>
    <t>км</t>
  </si>
  <si>
    <t>Прирост протяженности автомобильных дорог общего пользования местного значения на территории г.Орла в результате строительства новых автомобильных дорог</t>
  </si>
  <si>
    <t>Прирост протяженности автомобильных дорог общего пользования местного значения на территории г.Орла, соответствующих нормативных требованиям к транспортно-эксплутационным показателям, в результате капитального ремонта и ремонта автомобильных дорог</t>
  </si>
  <si>
    <t>Прирост протяженности автомобильных дорог общего пользования местного значения на территории г.Орла, соответствующих нормативных требованиям к транспортно-эксплутационным показателям, в результате реконструкции автомобильных дорог</t>
  </si>
  <si>
    <t>МП2</t>
  </si>
  <si>
    <t>МП3</t>
  </si>
  <si>
    <t>Плановые значения результатов предоставления иного межбюджетного трансферта на конец 2022</t>
  </si>
  <si>
    <t>2021 год (факт)</t>
  </si>
  <si>
    <r>
      <rPr>
        <b/>
        <sz val="12"/>
        <color theme="1"/>
        <rFont val="Times New Roman"/>
        <family val="1"/>
        <charset val="204"/>
      </rPr>
      <t>L общ.=461,3 км</t>
    </r>
    <r>
      <rPr>
        <sz val="12"/>
        <color theme="1"/>
        <rFont val="Times New Roman"/>
        <family val="1"/>
        <charset val="204"/>
      </rPr>
      <t xml:space="preserve"> - общая протяженность дорог общего пользования местного значения;</t>
    </r>
  </si>
  <si>
    <t xml:space="preserve">Количество устроенных средств организации и регулирования дорожного движения на автомобильных дорогах города Орла </t>
  </si>
  <si>
    <t>Примечание:</t>
  </si>
  <si>
    <t>Норматив предыдущего года + протяженность года по программе, нарастающим итогом</t>
  </si>
  <si>
    <r>
      <rPr>
        <b/>
        <sz val="12"/>
        <color theme="1"/>
        <rFont val="Times New Roman"/>
        <family val="1"/>
        <charset val="204"/>
      </rPr>
      <t>L норм.=</t>
    </r>
    <r>
      <rPr>
        <sz val="12"/>
        <color theme="1"/>
        <rFont val="Times New Roman"/>
        <family val="1"/>
        <charset val="204"/>
      </rPr>
      <t xml:space="preserve"> </t>
    </r>
    <r>
      <rPr>
        <b/>
        <sz val="12"/>
        <color theme="1"/>
        <rFont val="Times New Roman"/>
        <family val="1"/>
        <charset val="204"/>
      </rPr>
      <t>114,414 (норматив 2021 года)</t>
    </r>
    <r>
      <rPr>
        <sz val="12"/>
        <color theme="1"/>
        <rFont val="Times New Roman"/>
        <family val="1"/>
        <charset val="204"/>
      </rPr>
      <t>- протяженность дорог, отвечающих нормативным требованиям (с твердым покрытием).</t>
    </r>
  </si>
  <si>
    <t>норматив 2022 года</t>
  </si>
  <si>
    <t xml:space="preserve">снижение не  отвечающ.нормат.требованиям </t>
  </si>
  <si>
    <t xml:space="preserve">МП 2 2021 год </t>
  </si>
  <si>
    <t xml:space="preserve">МП 3 2021 год </t>
  </si>
  <si>
    <t xml:space="preserve"> 2020 год, км</t>
  </si>
  <si>
    <t>МП 2 2022 год</t>
  </si>
  <si>
    <t>МП 3 2022 год</t>
  </si>
  <si>
    <t>администрации города Орла</t>
  </si>
  <si>
    <t>Заместитель начальника  управления строительства,</t>
  </si>
  <si>
    <t>дорожного хозяйства и благоустройства</t>
  </si>
  <si>
    <t>Н.С. Митряев</t>
  </si>
  <si>
    <t xml:space="preserve">Основное мероприятие 1. </t>
  </si>
  <si>
    <t xml:space="preserve">Основное мероприятие 2. </t>
  </si>
  <si>
    <t xml:space="preserve">Основное мероприятие 3. </t>
  </si>
  <si>
    <t xml:space="preserve">Основное мероприятие 4. </t>
  </si>
  <si>
    <t xml:space="preserve">Основное мероприятие 5. </t>
  </si>
  <si>
    <t>Всего</t>
  </si>
  <si>
    <t>к постановлению</t>
  </si>
  <si>
    <t xml:space="preserve">к приложению муниципальной программы
</t>
  </si>
  <si>
    <t>Площадь восстановленных верхних слоев дорожной одежды</t>
  </si>
  <si>
    <t>Строительство объектов УДС города Орла</t>
  </si>
  <si>
    <t>Карачевское шоссе, 1 этап</t>
  </si>
  <si>
    <t>Карачевское шоссе,  1 этап</t>
  </si>
  <si>
    <t>внедрение ИТС на территории города Орла</t>
  </si>
  <si>
    <t>Площадь отремонтированных объектов улично-дорожной сети города Орла</t>
  </si>
  <si>
    <t>Прирост протяженности автомобильных дорог общего пользования местного значения на территории г.Орла, соответствующих нормативным требованиям к транспортно-эксплуатационным показателям, в результате капитального ремонта и ремонта автомобильных дорог</t>
  </si>
  <si>
    <t xml:space="preserve"> к муниципальной программе «Комплексное развитие 
</t>
  </si>
  <si>
    <t xml:space="preserve">к  муниципальной программе «Комплексное развитие 
</t>
  </si>
  <si>
    <t>разработка проекта организации дорожного движения по автомобильным дорогам города Орла</t>
  </si>
  <si>
    <t>внесение изменений в проект организации дорожного движения по автомобильным дорогам города Орла</t>
  </si>
  <si>
    <t>Содержание автомобильных дорог общего пользования местного значения и искусственных сооружений на них, приобретение дорожной техники, необходимой для содержания автомобильных дорог общего пользования местного значения</t>
  </si>
  <si>
    <t>(по источникам финансирования)</t>
  </si>
  <si>
    <t>объектов улично-дорожной сети для ремонта, предусмотренных Программой</t>
  </si>
  <si>
    <t>ул.Мостовая</t>
  </si>
  <si>
    <t>ул.Генерала Родина на участке от ул.Мостовой до ул.Веселой</t>
  </si>
  <si>
    <t>ремонт моста "Тургеневский" через р.Орлик</t>
  </si>
  <si>
    <t>ремонт пешеходных мостов</t>
  </si>
  <si>
    <t>1.6.</t>
  </si>
  <si>
    <t>восстановление электроосвещения ул.Генерала армии Ковалева</t>
  </si>
  <si>
    <t>1% город</t>
  </si>
  <si>
    <t>***</t>
  </si>
  <si>
    <t>2.1.</t>
  </si>
  <si>
    <t>2.2.</t>
  </si>
  <si>
    <t>2.3.</t>
  </si>
  <si>
    <t>2.4.</t>
  </si>
  <si>
    <t>2.6.</t>
  </si>
  <si>
    <t>2.7.</t>
  </si>
  <si>
    <t>2.8.</t>
  </si>
  <si>
    <t>2.9.</t>
  </si>
  <si>
    <t>ул.Березовая</t>
  </si>
  <si>
    <t>регламентные работы, в т.ч.</t>
  </si>
  <si>
    <t>содержание сети ливневой канализации в г. Орле</t>
  </si>
  <si>
    <t xml:space="preserve">проведение работ по содержанию остановочных павильонов общественного транспорта </t>
  </si>
  <si>
    <t>прочие работы (уборка, выпиловка деревьев,и т.д.)</t>
  </si>
  <si>
    <t>1.1.1.</t>
  </si>
  <si>
    <t>1.1.2.</t>
  </si>
  <si>
    <t>1.1.3.</t>
  </si>
  <si>
    <t>1.1.4.</t>
  </si>
  <si>
    <r>
      <t xml:space="preserve">внедрение интеллектуальной  системы управления транспортными потоками </t>
    </r>
    <r>
      <rPr>
        <sz val="12"/>
        <color rgb="FFFF0000"/>
        <rFont val="Times New Roman"/>
        <family val="1"/>
        <charset val="204"/>
      </rPr>
      <t xml:space="preserve">(оказание услуг фиксированной связи) </t>
    </r>
  </si>
  <si>
    <t>восстановление верхних слоев дорожной одежды</t>
  </si>
  <si>
    <t xml:space="preserve">выполнение работ по содержанию автомобильных дорог (объектов безопасности дорожного движения) </t>
  </si>
  <si>
    <t>4.5</t>
  </si>
  <si>
    <t>4.6</t>
  </si>
  <si>
    <t>Болховское ш. освещение</t>
  </si>
  <si>
    <t>Карачевское шоссе, 2 этап (на участке от ул.Мостовой до черты города)</t>
  </si>
  <si>
    <t>ул. Космонавтов</t>
  </si>
  <si>
    <t>Московское шоссе (от пер.Межевого до ул.Рощинской)</t>
  </si>
  <si>
    <t xml:space="preserve">Мероприятие 6. </t>
  </si>
  <si>
    <t>закупка дорожной техники</t>
  </si>
  <si>
    <t>Кромской проезд</t>
  </si>
  <si>
    <t>6.1.</t>
  </si>
  <si>
    <t xml:space="preserve">Основное мероприятие 7. </t>
  </si>
  <si>
    <t>1.7.</t>
  </si>
  <si>
    <t>Информация по кредиторской задолженности</t>
  </si>
  <si>
    <t>кредиторская задолженность предыдущих лет, в том числе:</t>
  </si>
  <si>
    <t>МУП Спецавтобаза регламентные работы</t>
  </si>
  <si>
    <t>Область</t>
  </si>
  <si>
    <t>Город</t>
  </si>
  <si>
    <t>ГорСтрой ул.МОПРа от ул.Комсомольской до ул.Маяковского</t>
  </si>
  <si>
    <t>Дорстрой Болховское шоссе (2 этап)</t>
  </si>
  <si>
    <t>СпецДорТех ул.Генерала Армии Ковалева от ул.Мостовой до ул.Емлютина</t>
  </si>
  <si>
    <t>РУСТЕХ устройство спец.тех.средств контроля и регулирования ПДД</t>
  </si>
  <si>
    <t>ул.Герцена ООО "Газ Ресурс"</t>
  </si>
  <si>
    <t xml:space="preserve">пер.Ипподромный </t>
  </si>
  <si>
    <t>4.7</t>
  </si>
  <si>
    <t>2.13</t>
  </si>
  <si>
    <t>2.15</t>
  </si>
  <si>
    <t>2.16</t>
  </si>
  <si>
    <t>Болховское шоссе (2 этап; кредиторская задолженность)</t>
  </si>
  <si>
    <t>1 ед.</t>
  </si>
  <si>
    <t>устройство (монтаж) недостающих средств организации и регулирования дорожного движения на пересечении ул.Советской и ул.Революции</t>
  </si>
  <si>
    <t>устройство (монтаж) недостающих средств организации и регулирования дорожного движения на пересечении ул.Михалицына с пер.Артельный</t>
  </si>
  <si>
    <t>устройство (монтаж) недостающих средств организации и регулирования дорожного движения в районе д.3а по ул.Металлургов</t>
  </si>
  <si>
    <t>5 ед.</t>
  </si>
  <si>
    <t>устройство (монтаж) недостающих средств организации и регулирования дорожного движения по ул.Паровозная в районе д.62, д.26, д.16А, д.4, д.14 (кредиторская задолженность)</t>
  </si>
  <si>
    <t>2.17</t>
  </si>
  <si>
    <t>2.18</t>
  </si>
  <si>
    <t>2.19</t>
  </si>
  <si>
    <t>4.8</t>
  </si>
  <si>
    <t>4.9</t>
  </si>
  <si>
    <t>4.10</t>
  </si>
  <si>
    <t>устройство (монтаж) недостающих средств организации и регулирования дорожного движения на пересечении ул.Советской и ул.Революции (кредиторская задолженность)</t>
  </si>
  <si>
    <t>устройство (монтаж) недостающих средств организации и регулирования дорожного движения на пересечении ул.Михалицына с пер.Артельный (кредиторская задолженность)</t>
  </si>
  <si>
    <t>устройство (монтаж) недостающих средств организации и регулирования дорожного движения в районе д.166 по Московскому шоссе (кредиторская задолженность)</t>
  </si>
  <si>
    <t>устройство (монтаж) недостающих средств организации и регулирования дорожного движения в районе д.3а по ул.Металлургов (кредиторская задолженность)</t>
  </si>
  <si>
    <t>устройство (монтаж) недостающих средств организации и регулирования дорожного движения ул.Матвеева в районе школы №36 (кредиторская задолженность)</t>
  </si>
  <si>
    <t>-</t>
  </si>
  <si>
    <t xml:space="preserve">внедрение интеллектуальной  системы управления транспортными потоками (оказание услуг фиксированной связи) </t>
  </si>
  <si>
    <t xml:space="preserve">ул.Базовая </t>
  </si>
  <si>
    <t>ул.Генерала Родина ООО "Газ Ресурс"</t>
  </si>
  <si>
    <t>ул.Октябрьская ООО "Газ Ресурс"</t>
  </si>
  <si>
    <t>пер.Ипподромный ООО "Газ Ресурс"</t>
  </si>
  <si>
    <t>Наименование мероприятий</t>
  </si>
  <si>
    <t>устройство специальных технических средств контроля соблюдений ПДД на нерегулируемом пешеходном переходе по ул.Комсомольская, 237 (объекты 2021 года)</t>
  </si>
  <si>
    <t>устройство специальных технических средств контроля соблюдений ПДД на нерегулируемом пешеходном переходе по ул.Карачевская, 61 (объекты 2021 года)</t>
  </si>
  <si>
    <t>устройство специальных технических средств контроля соблюдений ПДД на нерегулируемом пешеходном переходе по Кромское шоссе, 1 (объекты 2021 года)</t>
  </si>
  <si>
    <t>устройство специальных технических средств контроля соблюдений ПДД на нерегулируемом пешеходном переходе по Карачевское шоссе, 2 (объекты 2021 года)</t>
  </si>
  <si>
    <t>устройство специальных технических средств контроля соблюдений ПДД на нерегулируемом пешеходном переходе по ул.Ливенская, 48 (объекты 2021 года)</t>
  </si>
  <si>
    <t>устройство специальных технических средств контроля соблюдений ПДД на нерегулируемом пешеходном переходе по ул.Приборостроительная, 8 (объекты 2021 года)</t>
  </si>
  <si>
    <t>МП 2 2023 год</t>
  </si>
  <si>
    <t>МП 3 2023 год</t>
  </si>
  <si>
    <t>МП 2 2024 год</t>
  </si>
  <si>
    <t>МП 3 2024 год</t>
  </si>
  <si>
    <t>не отвечающие норм.требованиям, км на 2022 год</t>
  </si>
  <si>
    <t>не отвечающие норм.требованиям, км на 2021 год</t>
  </si>
  <si>
    <t>не отвечающие норм.требованиям, км на 2023 год</t>
  </si>
  <si>
    <t>не отвечающие норм.требованиям, км на 2024 год</t>
  </si>
  <si>
    <t>МП 1</t>
  </si>
  <si>
    <t>МП 2</t>
  </si>
  <si>
    <t>МП 3</t>
  </si>
  <si>
    <t>МП 4</t>
  </si>
  <si>
    <t>МП 5</t>
  </si>
  <si>
    <t>Строительство объекта "Линия искусственного электроосвещения по ул. Высоковольтная в г.Орле"</t>
  </si>
  <si>
    <t>Выполнение работ по разработке проектной и рабочей документации на строительство объекта "Линия искусственного электроосвещения по ул. Высоковольтная в г.Орле"</t>
  </si>
  <si>
    <t>восстановление уличного освещения по улице Спивака на участке от улицы Достоевского  до улицы Царев Брод</t>
  </si>
  <si>
    <t>восстановление уличного освещения по проезду вдоль Наугорского шоссе от магазина "Европа" до домов № 90-92</t>
  </si>
  <si>
    <t>устройство (монтаж) недостающих средств организации и регулирования дорожного движения в районе пересечения ул. Матросова с ул. Осипенко</t>
  </si>
  <si>
    <t>устройство (монтаж) недостающих средств организации и регулирования дорожного движения в районе дома 
№ 96 по Наугорскому шоссе</t>
  </si>
  <si>
    <t>устройство (монтаж) недостающих средств организации и регулирования дорожного движения в районе пересечения дома № 93 по ул. Максима Горького</t>
  </si>
  <si>
    <t xml:space="preserve">оплачено </t>
  </si>
  <si>
    <t>оплачено  8 837 345,46</t>
  </si>
  <si>
    <t>заявка передана в область 07 апреля на сумму 5 806 147,57 руб.</t>
  </si>
  <si>
    <t>не оплачено</t>
  </si>
  <si>
    <t xml:space="preserve">остаток Мегафон </t>
  </si>
  <si>
    <t>не оплачена часть</t>
  </si>
  <si>
    <t>оплатили 12 млн.</t>
  </si>
  <si>
    <t>10 миллионов на освещение</t>
  </si>
  <si>
    <t>Приложение № 1</t>
  </si>
  <si>
    <t>Приложение № 2</t>
  </si>
  <si>
    <t>Приложение № 3</t>
  </si>
  <si>
    <t xml:space="preserve">ул.Комсомольская в районе д. 95 </t>
  </si>
  <si>
    <t>лимиты области</t>
  </si>
  <si>
    <t>Наугорское шоссе от ул. Лескова до ул. Скворцова (1 этап от ул.Лескова до ул.Цветаева)</t>
  </si>
  <si>
    <t>4.11</t>
  </si>
  <si>
    <t>4.12</t>
  </si>
  <si>
    <t>4.13</t>
  </si>
  <si>
    <t>4.14</t>
  </si>
  <si>
    <t>4.15</t>
  </si>
  <si>
    <t>от длины улиц в км 2022-2023-2024-2025</t>
  </si>
  <si>
    <t>устройство (монтаж) недостающих средств организации и регулирования дорожного движения в районе пересечения ул.Маяковского - ул. Нормадия-Неман</t>
  </si>
  <si>
    <t>устройство (монтаж) недостающих средств организации и регулирования дорожного движения в районе пересечения ул. Комсомольская с ул. Нормандия-Неман</t>
  </si>
  <si>
    <t>устройство (монтаж) недостающих средств организации и регулирования дорожного движения в районе дома № 175 по  Московскому шоссе</t>
  </si>
  <si>
    <t>устройство (монтаж) недостающих средств организации и регулирования дорожного движения в районе пересечения ул.Тургенева - ул. Салтыкова-Щедрина</t>
  </si>
  <si>
    <t xml:space="preserve">устройство (монтаж) недостающих средств организации и регулирования дорожного движения в районе пересечения ул.Михалицина - пер.Керамический </t>
  </si>
  <si>
    <t>устройство (монтаж) недостающих средств организации и регулирования дорожного движения в районе дома № 1 по ул.Металлургов</t>
  </si>
  <si>
    <t>устройство (монтаж) недостающих средств организации и регулирования дорожного движения в районе пересечения ул.1-ая Курская - ул. Пушкина</t>
  </si>
  <si>
    <t>устройство (монтаж) недостающих средств организации и регулирования дорожного движения в районе дома № 151 по Московскому шоссе</t>
  </si>
  <si>
    <t>устройство (монтаж) недостающих средств организации и регулирования дорожного движения в районе пересечения ул.Мостовая - ул. Царев-Брод</t>
  </si>
  <si>
    <t>устройство (монтаж) недостающих средств организации и регулирования дорожного движения в районе дома № 1 по ул. Грузовая</t>
  </si>
  <si>
    <t>устройство (монтаж) недостающих средств организации и регулирования дорожного движения в районе дома №1 по ул.Металлургов</t>
  </si>
  <si>
    <t>устройство (монтаж) недостающих средств организации и регулирования дорожного движения в районе дома №151 по Московскому шоссе</t>
  </si>
  <si>
    <t>устройство (монтаж) недостающих средств организации и регулирования дорожного движения в районе дома №1 по ул. Грузовая</t>
  </si>
  <si>
    <t>устройство (монтаж) недостающих средств организации и регулирования дорожного движения в районе дома №175 по  Московскому шоссе</t>
  </si>
  <si>
    <t>ремонт Комсомольской площади в районе м-на "ГАММА" (ул. Комсомольская д.102)</t>
  </si>
  <si>
    <t>ул.Германо</t>
  </si>
  <si>
    <t>пер.Ремонтный до ул.Паровозная</t>
  </si>
  <si>
    <t xml:space="preserve">Основное мероприятие 8. </t>
  </si>
  <si>
    <t>Капитальный ремонт участков автомобильных дорог общего пользования местного значения в городе Орёл</t>
  </si>
  <si>
    <t xml:space="preserve">Выполнение работ по разработке проектной и рабочей документации на строительство объекта "Линия искусственного электроосвещения по ул. Высоковольтная в г.Орле" </t>
  </si>
  <si>
    <t>Капитальный ремонт улично-дорожной сети города Орла
по ул. Пионерская</t>
  </si>
  <si>
    <t>Капитальный ремонт улично-дорожной сети города Орла по ул. Деповская</t>
  </si>
  <si>
    <t>Капитальный ремонт улично-дорожной сети города Орла по ул. Кольцевая</t>
  </si>
  <si>
    <t xml:space="preserve">Капитальный ремонт улично-дорожной сети города Орла по пер.Почтовый от ул. Пролетарская Гора до д.16 </t>
  </si>
  <si>
    <t>Капитальный ремонт улично-дорожной сети города Орла по пер. Почтовый от д.6 до ул. Ленина</t>
  </si>
  <si>
    <t>ул.МОПРа (от ул.Комсомольская до спец.пожарно-спасательной части ФПС по Орловской области)</t>
  </si>
  <si>
    <t>обустройство остановки общественного транспорта по ул. Емлютина в районе дома 22; обустройство остановки общественного транспорта по ул. Зеленина в районе дома 4; обустройство остановки общественного транспорта по бул. Молодежи в районе дома 9; обустройство остановок общественного транспорта по ул. Высоковольтная (Сторожка); обустройство парковки для маршрутного транспорта по ул. Николая Сенина.</t>
  </si>
  <si>
    <t>устройство остановочных пунктов</t>
  </si>
  <si>
    <t>Капитальный ремонт улично-дорожной сети города Орла
по ул. Салтыкова-Щедрина, ул. Тургенева от дома № 15 до дома № 19, ул. Полесская от дома № 29А до дома № 18 по ул. Салтыкова-Щедрина, ул. Гуртьева от дома № 2 до дома № 6, ул. Красноармейская от дома № 4 до дома № 6</t>
  </si>
  <si>
    <t>4.16</t>
  </si>
  <si>
    <t>4.17</t>
  </si>
  <si>
    <t>Ремонт ул.Комсомольская (элементы обустройства автомобильных дорог)</t>
  </si>
  <si>
    <t>Ремонт ул. Октябрьская (элементы обустройства автомобильных дорог)</t>
  </si>
  <si>
    <t>Ремонт ул. 60-летия Октября (элементы обустройства автомобильных дорог)</t>
  </si>
  <si>
    <t>4 ед.</t>
  </si>
  <si>
    <t>2.29</t>
  </si>
  <si>
    <t>Устройство наружного освещения по ул.Молдавская (1 этап)</t>
  </si>
  <si>
    <t>Восстановление электроосвещения ул.Генерала армии Ковалева</t>
  </si>
  <si>
    <t>7.1.</t>
  </si>
  <si>
    <t>8.1.</t>
  </si>
  <si>
    <t>8.3.</t>
  </si>
  <si>
    <t>8.2.</t>
  </si>
  <si>
    <t>8.4.</t>
  </si>
  <si>
    <t>МКУ "ОМЗ г.Орла"</t>
  </si>
  <si>
    <t xml:space="preserve">МКУ "ОМЗ г.Орла" </t>
  </si>
  <si>
    <t>установка дорожных знаков и нанесения дорожной разметки</t>
  </si>
  <si>
    <t>устройство (монтаж) недостающих средств организации и регулирования дорожного движения в районе пересечения ул.Трудовые резервы и ул. Генерала Родина</t>
  </si>
  <si>
    <t>Источники финансирования</t>
  </si>
  <si>
    <t>Федеральный бюджет</t>
  </si>
  <si>
    <t>Местный бюджет</t>
  </si>
  <si>
    <t>Сумма</t>
  </si>
  <si>
    <t>В том числе по годам</t>
  </si>
  <si>
    <t>ВСЕГО:</t>
  </si>
  <si>
    <t>тыс.рублей</t>
  </si>
  <si>
    <t>Областной бюджет</t>
  </si>
  <si>
    <t>Ремонт ул. Герцена (элементы обустройства автомобильных дорог)</t>
  </si>
  <si>
    <t>2 ед.</t>
  </si>
  <si>
    <t>Ремонт ул. Московская (элементы обустройства автомобильных дорог)</t>
  </si>
  <si>
    <t>Ремонт Московское шоссе (элементы обустройства автомобильных дорог)</t>
  </si>
  <si>
    <t>Ремонт ул. 5 Августа (элементы обустройства автомобильных дорог)</t>
  </si>
  <si>
    <t>3 ед.</t>
  </si>
  <si>
    <t>Ремонт ул. Горького (элементы обустройства автомобильных дорог)</t>
  </si>
  <si>
    <t>Ремонт ул. Пушкина (элементы обустройства автомобильных дорог)</t>
  </si>
  <si>
    <t>Ремонт ул. Лескова (элементы обустройства автомобильных дорог)</t>
  </si>
  <si>
    <t>Ремонт Новосильское шоссе (элементы обустройства автомобильных дорог)</t>
  </si>
  <si>
    <t>Ремонт Наугорское шоссе (элементы обустройства автомобильных дорог)</t>
  </si>
  <si>
    <t>Ремонт Карачевское шоссе (элементы обустройства автомобильных дорог)</t>
  </si>
  <si>
    <t>Ремонт ул. Ливенская (элементы обустройства автомобильных дорог)</t>
  </si>
  <si>
    <t>Ремонт пер.Маслозаводской (элементы обустройства автомобильных дорог)</t>
  </si>
  <si>
    <t>Ремонт ул. Металлургов (элементы обустройства автомобильных дорог)</t>
  </si>
  <si>
    <t>2.20</t>
  </si>
  <si>
    <t>2.21</t>
  </si>
  <si>
    <t>2.22</t>
  </si>
  <si>
    <t>2.23</t>
  </si>
  <si>
    <t>2.24</t>
  </si>
  <si>
    <t>2.25</t>
  </si>
  <si>
    <t>2.26</t>
  </si>
  <si>
    <t>2.27</t>
  </si>
  <si>
    <t>2.28</t>
  </si>
  <si>
    <t>2.30</t>
  </si>
  <si>
    <t>2.31</t>
  </si>
  <si>
    <t>2.33</t>
  </si>
  <si>
    <t>2.35</t>
  </si>
  <si>
    <t>2.36</t>
  </si>
  <si>
    <t>2.37</t>
  </si>
  <si>
    <t>2.38</t>
  </si>
  <si>
    <t>2.39</t>
  </si>
  <si>
    <t>2.40</t>
  </si>
  <si>
    <t>2.41</t>
  </si>
  <si>
    <t>2.42</t>
  </si>
  <si>
    <t>2.43</t>
  </si>
  <si>
    <t>2.44</t>
  </si>
  <si>
    <t>ВАРИАНТ 1 по факту МАИПа!!!</t>
  </si>
  <si>
    <t>ВАРИАНТ 2 от Далековой (Илья прислал по ватсапу)!!!</t>
  </si>
  <si>
    <t>ВАРИАНТ 3 Илья!</t>
  </si>
  <si>
    <t>Ремонт ул. Паровозная (элементы обустройства автомобильных дорог)</t>
  </si>
  <si>
    <t>*** с МП 8 на светофоры по факту</t>
  </si>
  <si>
    <t>Капитальный ремонт улично-дорожной сети города Орла по ул. Пионерская</t>
  </si>
  <si>
    <t>лимиты</t>
  </si>
  <si>
    <t xml:space="preserve">выполнение работ по содержанию автомобильных дорог (объектов БДД) </t>
  </si>
  <si>
    <t xml:space="preserve">ямочный ремонт </t>
  </si>
  <si>
    <t>МУП Спецавтобаза (регламентные работы+ямочный ремонт)</t>
  </si>
  <si>
    <t>МП 8</t>
  </si>
  <si>
    <t>Наименование мероприятия</t>
  </si>
  <si>
    <t>потребность</t>
  </si>
  <si>
    <t>факт на 11.10.22</t>
  </si>
  <si>
    <t>руб.</t>
  </si>
  <si>
    <t>4.1.</t>
  </si>
  <si>
    <t>лимиты 2023 года</t>
  </si>
  <si>
    <t>не мои деньги, но сидят в общей сумме</t>
  </si>
  <si>
    <t>ВЫЙТИ на эту сумму</t>
  </si>
  <si>
    <t>МП 1+МП 8</t>
  </si>
  <si>
    <t>светофоры, ремонт, кап.ремонт сидят по одной строке для области</t>
  </si>
  <si>
    <t>1.1.5.</t>
  </si>
  <si>
    <t>прокладка кабельной линии вдоль площади Богоявленского, Боговленского собора для проведения праздничных имероприятий на УДС г. Орла</t>
  </si>
  <si>
    <t>тех.присоединение к эл.сетям</t>
  </si>
  <si>
    <t>Тех.присоединение к эл.сетям</t>
  </si>
  <si>
    <t>восстановление тротуаров в местах проведения работ по корчевке пней по г. Орле</t>
  </si>
  <si>
    <t>ремонт пешеходной зоны в р-не ул. Правый берег реки Орлик</t>
  </si>
  <si>
    <t>монтаж внешнего электроснабжения средств контроля соблюдения ПДД, согласно ТУ  7120 от 30.11.2021 г. (оплачено по счету № 2675 от 30.11.2021 г. в сумме 32787,18 руб.) - нерегулируемый пешеходный переход</t>
  </si>
  <si>
    <t>ремонт тротуара (схода) по ул. Московская, 29 со стороны ул. Революции (Решение Советского районного суда по делу № 2-570/2021)</t>
  </si>
  <si>
    <t xml:space="preserve">устройство пешеходной дорожки по ул. Матвеева в р-не школы № 36 </t>
  </si>
  <si>
    <t>поставка и установка  остановочного павильона на остановке общественного транспорта "Госуниверсистет"</t>
  </si>
  <si>
    <t>2.14</t>
  </si>
  <si>
    <t>2.32</t>
  </si>
  <si>
    <t>2.34</t>
  </si>
  <si>
    <t>2.45</t>
  </si>
  <si>
    <t>2.46</t>
  </si>
  <si>
    <t>2.47</t>
  </si>
  <si>
    <t>2.48</t>
  </si>
  <si>
    <t>артельный</t>
  </si>
  <si>
    <t>факт</t>
  </si>
  <si>
    <t>по области</t>
  </si>
  <si>
    <t>работы по монтажу дополнительного ограждения моста "Дружба"</t>
  </si>
  <si>
    <t>обустройство остановки общ. транспорта по ул. Емлютина в районе дома 22; обустройство остановки общественного транспорта по ул. Зеленина в районе дома 4; обустройство остановки общ. транспорта по бул. Молодежи в районе дома 9; обустройство остановок общественного транспорта по ул. Высоковольтная (Сторожка); обустройство парковки для маршрутного транспорта по ул. Николая Сенина.</t>
  </si>
  <si>
    <t>Капитальный ремонт улично-дорожной сети города Орла по ул. Энгельса</t>
  </si>
  <si>
    <t>ул.Комсомольская от Карачевского шоссе до Кромского шоссе (проезжая часть)</t>
  </si>
  <si>
    <t>подходы к мостам прошлого года!!!</t>
  </si>
  <si>
    <t xml:space="preserve">Восстановление уличного освещения по улице Кузнецова </t>
  </si>
  <si>
    <t>октябрьская на пересечении от приборостроительной до игнатьова (четная сторона)</t>
  </si>
  <si>
    <t>/км.м</t>
  </si>
  <si>
    <t>/км</t>
  </si>
  <si>
    <t xml:space="preserve">Площадь отремонтированных объектов УДС города Орла -                                                </t>
  </si>
  <si>
    <t>Восстановление электроосвещения на ул.Пионерская на пересечении с ул.Октябрьская в районе где фундаменталка</t>
  </si>
  <si>
    <t>аренда опор контактной сети, расположенных в полосе отвода улично-дорожной сети города Орла, для возможности крепления и подвешивания UTP. СИП, телекоммуникационных шкафов и камер видеонаблюдения</t>
  </si>
  <si>
    <t>8.5.</t>
  </si>
  <si>
    <t>4.2.</t>
  </si>
  <si>
    <t>4.3.</t>
  </si>
  <si>
    <r>
      <t>ремонт пешеходной дорожки от ул. Матвеева до лицея № 21 вдоль д. № 11а, 13а, 25 а по ул. Игнатова</t>
    </r>
    <r>
      <rPr>
        <b/>
        <sz val="13"/>
        <color theme="1"/>
        <rFont val="Times New Roman"/>
        <family val="1"/>
        <charset val="204"/>
      </rPr>
      <t xml:space="preserve"> </t>
    </r>
  </si>
  <si>
    <t>ул.Сурена-Шаумяна</t>
  </si>
  <si>
    <t>ул.1-ая Посадская от ул.Комсомольская до Тургеневского моста</t>
  </si>
  <si>
    <t>/кв.м</t>
  </si>
  <si>
    <t>лимиты 2025 года ПЛАН</t>
  </si>
  <si>
    <t>8.6.</t>
  </si>
  <si>
    <t>2.10.</t>
  </si>
  <si>
    <t>Капитальный ремонт улично-дорожной сети города Орла по ул.Беговая-ул.Благининой на участке от Московского шоссе до границы города Орла</t>
  </si>
  <si>
    <t>от ____________________ 202____ №___________</t>
  </si>
  <si>
    <t>от ________________202___ №___________</t>
  </si>
  <si>
    <t>Ремонт автомобильных дорог в рамках реализации регионального проекта "Программа комплексного развития объединенной дорожной сети Орловской области,  а также Орловской городской агломерации на 2019-2024 годы" национального проекта "Безопасные качественные дороги"</t>
  </si>
  <si>
    <t>Ремонт, капитальный ремонт автомобильных дорог в рамках реализации регионального проекта «Программа  комплексного развития объединенной дорожной сети Орловской области, а также Орловской городской агломерации на 2019–2024 годы» национального проекта «Безопасные качественные дороги»</t>
  </si>
  <si>
    <t xml:space="preserve">Устройство интеллектуальных транспортных систем  по организации дорожного движения в городе Орле в рамках реализации регионального проекта «Программа  комплексного развития объединенной дорожной сети Орловской области, а также Орловской городской агломерации на 2019–2024 годы» национального проекта «Безопасные качественные дороги»   </t>
  </si>
  <si>
    <t>ул. Комсомольская от Карачевского шоссе до Кромского шоссе (проезжая часть)</t>
  </si>
  <si>
    <t>ул. Комсомольская от Карачевского шоссе до Кромского шоссе (прилегающая территория)</t>
  </si>
  <si>
    <t>восстановление существующего остановочного павильона на остановке общевенного транспорта "Сквер Гуртьева" по   ул. Октябрьская</t>
  </si>
  <si>
    <t xml:space="preserve">ремонт пешеходной дорожки от ул. Матвеева до лицея № 21 вдоль д. № 11а, 13а, 25 а по ул. Игнатова </t>
  </si>
  <si>
    <t>Капитальный ремонт улично-дорожной сети города Орла по ул. Полярная</t>
  </si>
  <si>
    <t>Капитальный ремонт автомобильной дороги ул.Комсомольская от Карачевского шоссе до Кромского шоссе (прилегающая территория)</t>
  </si>
  <si>
    <t>8.7.</t>
  </si>
  <si>
    <t>8.8.</t>
  </si>
  <si>
    <t>8.9.</t>
  </si>
  <si>
    <t>2.5.</t>
  </si>
  <si>
    <t>Ремонт участка в районе дома № 29 со стороны ул.Революции в городе Орле</t>
  </si>
  <si>
    <t>20 ед.</t>
  </si>
  <si>
    <t>Ремонт ул.Раздольная (элементы обустройства автомобильных дорог)</t>
  </si>
  <si>
    <t>Ремонт ул.Грузовая (элементы обустройства автомобильных дорог)</t>
  </si>
  <si>
    <t>Ремонт ул.Р.Люксембург (элементы обустройства автомобильных дорог)</t>
  </si>
  <si>
    <t>Ремонт Кромское шоссе (элементы обустройства автомобильных дорог)</t>
  </si>
  <si>
    <t>Ремонт ул.6-ой Орловской дивизии (элементы обустройства автомобильных дорог)</t>
  </si>
  <si>
    <t>Ремонт ул.МОПРа  (элементы обустройства автомобильных дорог)</t>
  </si>
  <si>
    <t>2.11.</t>
  </si>
  <si>
    <t>2.12.</t>
  </si>
  <si>
    <t>2.13.</t>
  </si>
  <si>
    <t>2.14.</t>
  </si>
  <si>
    <t>2.15.</t>
  </si>
  <si>
    <t>2.16.</t>
  </si>
  <si>
    <t>8.10.</t>
  </si>
  <si>
    <t>8.11.</t>
  </si>
  <si>
    <t>8.12.</t>
  </si>
  <si>
    <t>8.13.</t>
  </si>
  <si>
    <t>8.14.</t>
  </si>
  <si>
    <t>закупка дорожной техники (термос-бункер-1 ед., комбинированная дорожная машина-4 ед., грузовой автомобиль-2 ед., автогрейдер-1 ед.,лаповый снегопогрузчик-2 ед., шнекороторный снегоочиститель-1 ед., трактор-5 ед., фронтальный погрузчик-1 ед.)</t>
  </si>
  <si>
    <t>кредиторская задолженность предыдущих лет (объект 2022 года)</t>
  </si>
  <si>
    <t>Наименование объекта</t>
  </si>
  <si>
    <t>Ремонт ул.Городская (элементы обустройства автомобильных дорог)</t>
  </si>
  <si>
    <t>2.17.</t>
  </si>
  <si>
    <t>2.18.</t>
  </si>
  <si>
    <t>Ремонт ул.Полярная (элементы обустройства автомобильных дорог)</t>
  </si>
  <si>
    <t>2.19.</t>
  </si>
  <si>
    <t>2.20.</t>
  </si>
  <si>
    <t>ул.Раздольная от ул.Бурова до кольцевой развязки</t>
  </si>
  <si>
    <t>2.21.</t>
  </si>
  <si>
    <t>Капитальный ремонт улично-дорожной сети города Орла по ул.Колхозная (на участке от моста в створе ул.Колхозная до ул. Энгельса)</t>
  </si>
  <si>
    <t>2.22.</t>
  </si>
  <si>
    <t>Ремонт ул.1-я Курская (элементы обустройства автомобильных дорог)</t>
  </si>
  <si>
    <t>Ремонт ул. Садово-Пушкарная (сквер "Комсомольцев") (элементы обустройства автомобильных дорог)</t>
  </si>
  <si>
    <t>2.23.</t>
  </si>
  <si>
    <t>2.24.</t>
  </si>
  <si>
    <t>Ремонт ул. Скворцова (элементы обустройства автомобильных дорог)</t>
  </si>
  <si>
    <t>2.25.</t>
  </si>
  <si>
    <t>Ремонт ул. Поселковая (элементы обустройства автомобильных дорог)</t>
  </si>
  <si>
    <t>2.26.</t>
  </si>
  <si>
    <t>33 ед.</t>
  </si>
  <si>
    <t>ФАКТ</t>
  </si>
  <si>
    <t>ИТОГО:</t>
  </si>
  <si>
    <t xml:space="preserve">Снос опор </t>
  </si>
  <si>
    <t>Кредиторская задолженность</t>
  </si>
  <si>
    <t>СОГЛАШЕНИЕ</t>
  </si>
  <si>
    <t>Возврат ден.средств в Дор.фонд</t>
  </si>
  <si>
    <t>3.6.</t>
  </si>
  <si>
    <t>3.7.</t>
  </si>
  <si>
    <t>Ремонт ул. Цветаева (элементы обустройства автомобильных дорог)</t>
  </si>
  <si>
    <t>Ремонт пл.Комсомольская (элементы обустройства автомобильных дорог)</t>
  </si>
  <si>
    <t>30 ед.</t>
  </si>
  <si>
    <t>10 ед.</t>
  </si>
  <si>
    <t>Ремонт Старомосковское шоссе (элементы обустройства автомобильных дорог)</t>
  </si>
  <si>
    <t>Ремонт ул.Игнатова (элементы обустройства автомобильных дорог)</t>
  </si>
  <si>
    <t>Ремонт пл.Богоявленской (элементы обустройства автомобильных дорог)</t>
  </si>
  <si>
    <t>Ремонт ул.Гуртьева (элементы обустройства автомобильных дорог)</t>
  </si>
  <si>
    <t>7 ед.</t>
  </si>
  <si>
    <t>Ремонт ул.Левый Берег реки Орлик "ТРУД" (элементы обустройства автомобильных дорог)</t>
  </si>
  <si>
    <t>2.27.</t>
  </si>
  <si>
    <t>2.28.</t>
  </si>
  <si>
    <t>2.29.</t>
  </si>
  <si>
    <t>2.30.</t>
  </si>
  <si>
    <t>2.31.</t>
  </si>
  <si>
    <t>2.32.</t>
  </si>
  <si>
    <t>2.33.</t>
  </si>
  <si>
    <t>плюс по ул.Калинникова перенос 2005,2</t>
  </si>
  <si>
    <t>средства бюджетного кредита</t>
  </si>
  <si>
    <t>Средства бюджетного кредита</t>
  </si>
  <si>
    <t>Ремонт улично-дорожной сети города Орла: ул.Бурова</t>
  </si>
  <si>
    <t>тыс.руб.</t>
  </si>
  <si>
    <t>ЛБО</t>
  </si>
  <si>
    <t>Средства бюджетного кредита нац.проект БКД</t>
  </si>
  <si>
    <t>МП 7</t>
  </si>
  <si>
    <t>Примечание</t>
  </si>
  <si>
    <t>Распределение бюджетных ассигнований Дорожного фонда Орловской областипо состоянию на 02.08.2023</t>
  </si>
  <si>
    <t>это ДОП на САБ</t>
  </si>
  <si>
    <t>Капитальный ремонт автомобильных дорог города Орла на улицах частной жилой застройки: ул. Контактная</t>
  </si>
  <si>
    <t>Капитальный ремонт автомобильных дорог города Орла на улицах частной жилой застройки: пер. Тепловозный</t>
  </si>
  <si>
    <t>Капитальный ремонт автомобильных дорог города Орла на улицах частной жилой застройки: ул. Полтавская</t>
  </si>
  <si>
    <t>Капитальный ремонт автомобильных дорог города Орла на улицах частной жилой застройки: ул. Андриабужная</t>
  </si>
  <si>
    <t>Капитальный ремонт автомобильных дорог города Орла на улицах частной жилой застройки: пер. Самарский</t>
  </si>
  <si>
    <t>Капитальный ремонт автомобильных дорог города Орла на улицах частной жилой застройки: ул. Крестьянская</t>
  </si>
  <si>
    <t>Капитальный ремонт автомобильных дорог города Орла на улицах частной жилой застройки: ул. Пришвина</t>
  </si>
  <si>
    <t>Капитальный ремонт автомобильных дорог города Орла на улицах частной жилой застройки: ул. Электровозная</t>
  </si>
  <si>
    <t>Капитальный ремонт автомобильных дорог города Орла на улицах частной жилой застройки: туп. Медведевский</t>
  </si>
  <si>
    <t>Капитальный ремонт автомобильных дорог города Орла на улицах частной жилой застройки: пер. Торцовый</t>
  </si>
  <si>
    <t>Капитальный ремонт автомобильных дорог города Орла на улицах частной жилой застройки: пер. Шахматный</t>
  </si>
  <si>
    <t>Капитальный ремонт автомобильных дорог города Орла на улицах частной жилой застройки: пер. Прядильный</t>
  </si>
  <si>
    <t>Капитальный ремонт автомобильных дорог города Орла на улицах частной жилой застройки: пер. Локомотивный</t>
  </si>
  <si>
    <t>Капитальный ремонт автомобильных дорог города Орла на улицах частной жилой застройки: пер. Вагонный</t>
  </si>
  <si>
    <t>Капитальный ремонт автомобильных дорог города Орла на улицах частной жилой застройки: пер. Бригадный</t>
  </si>
  <si>
    <t>Капитальный ремонт автомобильных дорог города Орла на улицах частной жилой застройки: пер. Хлебный</t>
  </si>
  <si>
    <t>Капитальный ремонт автомобильных дорог города Орла на улицах частной жилой застройки: пер. Тупиковый</t>
  </si>
  <si>
    <t>Капитальный ремонт автомобильных дорог города Орла на улицах частной жилой застройки: ул. Ново-Прядильная</t>
  </si>
  <si>
    <t>Капитальный ремонт автомобильных дорог города Орла на улицах частной жилой застройки: пер. Пожарный</t>
  </si>
  <si>
    <t>Капитальный ремонт автомобильных дорог города Орла на улицах частной жилой застройки: ул. Белинского</t>
  </si>
  <si>
    <t>Капитальный ремонт автомобильных дорог города Орла на улицах частной жилой застройки: пер. Культурный</t>
  </si>
  <si>
    <t>Капитальный ремонт автомобильных дорог города Орла на улицах частной жилой застройки: ул.Заводская</t>
  </si>
  <si>
    <t>Капитальный ремонт автомобильных дорог города Орла на улицах частной жилой застройки: ул. 1 Пушкарная</t>
  </si>
  <si>
    <t>Капитальный ремонт автомобильных дорог города Орла на улицах частной жилой застройки: ул. 2 Пушкарная</t>
  </si>
  <si>
    <t>Капитальный ремонт автомобильных дорог города Орла на улицах частной жилой застройки: ул. Зеленый Берег</t>
  </si>
  <si>
    <t>Капитальный ремонт автомобильных дорог города Орла на улицах частной жилой застройки: наб. Есенина</t>
  </si>
  <si>
    <t>Капитальный ремонт автомобильных дорог города Орла на улицах частной жилой застройки: ул. Чапаева</t>
  </si>
  <si>
    <t>Капитальный ремонт автомобильных дорог города Орла на улицах частной жилой застройки: ул. Панчука</t>
  </si>
  <si>
    <t>Капитальный ремонт автомобильных дорог города Орла на улицах частной жилой застройки: ул. Достоевского</t>
  </si>
  <si>
    <t>Капитальный ремонт автомобильных дорог города Орла на улицах частной жилой застройки: ул. Циолковского</t>
  </si>
  <si>
    <t>Капитальный ремонт автомобильных дорог города Орла на улицах частной жилой застройки: ул. Андреева</t>
  </si>
  <si>
    <t>Капитальный ремонт автомобильных дорог города Орла на улицах частной жилой застройки: ул. Спивака</t>
  </si>
  <si>
    <t>Капитальный ремонт автомобильных дорог города Орла на улицах частной жилой застройки: ул. Чайкиной</t>
  </si>
  <si>
    <t>Капитальный ремонт автомобильных дорог города Орла на улицах частной жилой застройки: ул. Земнухова</t>
  </si>
  <si>
    <t>Капитальный ремонт автомобильных дорог города Орла на улицах частной жилой застройки: ул. Кошевого</t>
  </si>
  <si>
    <t>Капитальный ремонт автомобильных дорог города Орла на улицах частной жилой застройки: ул. Тюленина</t>
  </si>
  <si>
    <t>Капитальный ремонт автомобильных дорог города Орла на улицах частной жилой застройки: ул. Громовой</t>
  </si>
  <si>
    <t>Капитальный ремонт автомобильных дорог города Орла на улицах частной жилой застройки: пер. Шевцовой</t>
  </si>
  <si>
    <t xml:space="preserve">Капитальный ремонт автомобильных дорог города Орла на улицах частной жилой застройки: ул. Островского </t>
  </si>
  <si>
    <t>Капитальный ремонт автомобильных дорог города Орла на улицах частной жилой застройки: ул. Моховая</t>
  </si>
  <si>
    <t>Капитальный ремонт автомобильных дорог города Орла на улицах частной жилой застройки: ул. Калужская</t>
  </si>
  <si>
    <t>Капитальный ремонт автомобильных дорог города Орла на улицах частной жилой застройки: ул. Восточная</t>
  </si>
  <si>
    <t>Капитальный ремонт автомобильных дорог города Орла на улицах частной жилой застройки: ул. Ольховецкая</t>
  </si>
  <si>
    <t>Капитальный ремонт автомобильных дорог города Орла на улицах частной жилой застройки: ул. Шульгина 2 этап</t>
  </si>
  <si>
    <t>Капитальный ремонт автомобильных дорог города Орла на улицах частной жилой застройки: ул. Придорожная</t>
  </si>
  <si>
    <t>Капитальный ремонт автомобильных дорог города Орла на улицах частной жилой застройки: ул. Мебельная</t>
  </si>
  <si>
    <t>Капитальный ремонт автомобильных дорог города Орла на улицах частной жилой застройки: пер. Краснозоренский</t>
  </si>
  <si>
    <t>Капитальный ремонт автомобильных дорог города Орла на улицах частной жилой застройки: пер. Столярный</t>
  </si>
  <si>
    <t>Капитальный ремонт автомобильных дорог города Орла на улицах частной жилой застройки: ул. Благининой</t>
  </si>
  <si>
    <t>Капитальный ремонт автомобильных дорог города Орла на улицах частной жилой застройки: ул. Надежды</t>
  </si>
  <si>
    <t>Капитальный ремонт автомобильных дорог города Орла на улицах частной жилой застройки: ул. Сечкина</t>
  </si>
  <si>
    <t>Капитальный ремонт автомобильных дорог города Орла на улицах частной жилой застройки: пер. Сечкина</t>
  </si>
  <si>
    <t>Капитальный ремонт автомобильных дорог города Орла на улицах частной жилой застройки: ул. Героев Чекистов</t>
  </si>
  <si>
    <t>Капитальный ремонт автомобильных дорог города Орла на улицах частной жилой застройки: ул. Героев Милиционеров</t>
  </si>
  <si>
    <t>Капитальный ремонт автомобильных дорог города Орла на улицах частной жилой застройки: ул.Турбина</t>
  </si>
  <si>
    <t>Капитальный ремонт автомобильных дорог города Орла на улицах частной жилой застройки: ул.Кривцова</t>
  </si>
  <si>
    <t>Капитальный ремонт автомобильных дорог города Орла на улицах частной жилой застройки: пер.Приокский-ул.Отрадная</t>
  </si>
  <si>
    <t>Капитальный ремонт автомобильных дорог города Орла на улицах частной жилой застройки: ул.Приокская</t>
  </si>
  <si>
    <t>Капитальный ремонт автомобильных дорог города Орла на улицах частной жилой застройки: пер.Городской</t>
  </si>
  <si>
    <t>Капитальный ремонт автомобильных дорог города Орла на улицах частной жилой застройки: ул.Скульптурная</t>
  </si>
  <si>
    <t>Капитальный ремонт автомобильных дорог города Орла на улицах частной жилой застройки: ул.Линейная</t>
  </si>
  <si>
    <t>Капитальный ремонт автомобильных дорог города Орла на улицах частной жилой застройки: ул.Менделеева</t>
  </si>
  <si>
    <t>Капитальный ремонт автомобильных дорог города Орла на улицах частной жилой застройки: ул.Степная</t>
  </si>
  <si>
    <t>Капитальный ремонт автомобильных дорог города Орла на улицах частной жилой застройки: ул.Яблочная</t>
  </si>
  <si>
    <t>Капитальный ремонт автомобильных дорог города Орла на улицах частной жилой застройки: пер.Половецкий</t>
  </si>
  <si>
    <t>Капитальный ремонт автомобильных дорог города Орла на улицах частной жилой застройки: ул.Серпуховская</t>
  </si>
  <si>
    <t>Капитальный ремонт автомобильных дорог города Орла на улицах частной жилой застройки: ул.Елецкая</t>
  </si>
  <si>
    <t>Капитальный ремонт автомобильных дорог города Орла на улицах частной жилой застройки: ул.Мичурина</t>
  </si>
  <si>
    <t>Капитальный ремонт автомобильных дорог города Орла на улицах частной жилой застройки: ул.Радищева</t>
  </si>
  <si>
    <t>Капитальный ремонт автомобильных дорог города Орла на улицах частной жилой застройки: ул. 3 Курская от ул. Магазинной до дома 94</t>
  </si>
  <si>
    <t>Капитальный ремонт автомобильных дорог города Орла на улицах частной жилой застройки: ул. Полигонная</t>
  </si>
  <si>
    <t>Капитальный ремонт автомобильных дорог города Орла на улицах частной жилой застройки: ул. Дружбы</t>
  </si>
  <si>
    <t>Капитальный ремонт автомобильных дорог города Орла на улицах частной жилой застройки: пер. Ковыльный</t>
  </si>
  <si>
    <t>Капитальный ремонт автомобильных дорог города Орла на улицах частной жилой застройки: пер. Лужковский</t>
  </si>
  <si>
    <t>Капитальный ремонт автомобильных дорог города Орла на улицах частной жилой застройки: пер. Менделеева</t>
  </si>
  <si>
    <t>Капитальный ремонт автомобильных дорог города Орла на улицах частной жилой застройки: пер. Еловый</t>
  </si>
  <si>
    <t>Капитальный ремонт автомобильных дорог города Орла на улицах частной жилой застройки: ул. Светлая</t>
  </si>
  <si>
    <t>Капитальный ремонт автомобильных дорог города Орла на улицах частной жилой застройки: пер. Грибной</t>
  </si>
  <si>
    <t>Капитальный ремонт автомобильных дорог города Орла на улицах частной жилой застройки: ул. Заречная</t>
  </si>
  <si>
    <t>Капитальный ремонт автомобильных дорог города Орла на улицах частной жилой застройки: ул. Афонина</t>
  </si>
  <si>
    <t>Капитальный ремонт автомобильных дорог города Орла на улицах частной жилой застройки: пер. Отрадный</t>
  </si>
  <si>
    <t>Капитальный ремонт автомобильных дорог города Орла на улицах частной жилой застройки: ул. Пойменная 1 этап</t>
  </si>
  <si>
    <t>Капитальный ремонт автомобильных дорог города Орла на улицах частной жилой застройки: ул. Пойменная 2 этап</t>
  </si>
  <si>
    <t>Капитальный ремонт автомобильных дорог города Орла на улицах частной жилой застройки: пер. Преображенского</t>
  </si>
  <si>
    <t>Капитальный ремонт автомобильных дорог города Орла на улицах частной жилой застройки: ул. Радужная</t>
  </si>
  <si>
    <t>Капитальный ремонт автомобильных дорог города Орла на улицах частной жилой застройки: пер. Скульптурный</t>
  </si>
  <si>
    <t>Капитальный ремонт автомобильных дорог города Орла на улицах частной жилой застройки: пер. Лебединый</t>
  </si>
  <si>
    <t>Капитальный ремонт автомобильных дорог города Орла на улицах частной жилой застройки: пер. Проходной</t>
  </si>
  <si>
    <t>Капитальный ремонт автомобильных дорог города Орла на улицах частной жилой застройки: пер. Заливной</t>
  </si>
  <si>
    <t>Капитальный ремонт автомобильных дорог города Орла на улицах частной жилой застройки: ул. Преображенского</t>
  </si>
  <si>
    <t>Капитальный ремонт автомобильных дорог города Орла на улицах частной жилой застройки: пер. Донской</t>
  </si>
  <si>
    <t>Капитальный ремонт автомобильных дорог города Орла на улицах частной жилой застройки: туп. Стеклянный</t>
  </si>
  <si>
    <t>Капитальный ремонт автомобильных дорог города Орла на улицах частной жилой застройки: пер. Стеклянный</t>
  </si>
  <si>
    <t>Капитальный ремонт автомобильных дорог города Орла на улицах частной жилой застройки: пер. Игрушечный</t>
  </si>
  <si>
    <t>Капитальный ремонт автомобильных дорог города Орла на улицах частной жилой застройки: туп. Линейный</t>
  </si>
  <si>
    <t>Капитальный ремонт автомобильных дорог города Орла на улицах частной жилой застройки: ул. Чкалова</t>
  </si>
  <si>
    <t>Капитальный ремонт автомобильных дорог города Орла на улицах частной жилой застройки: ул. Лесопильная</t>
  </si>
  <si>
    <t>Капитальный ремонт автомобильных дорог города Орла на улицах частной жилой застройки: ул. Деревообделочная</t>
  </si>
  <si>
    <t>Капитальный ремонт автомобильных дорог города Орла на улицах частной жилой застройки: ул. Высокая</t>
  </si>
  <si>
    <t>Капитальный ремонт автомобильных дорог города Орла на улицах частной жилой застройки: ул. Полевая</t>
  </si>
  <si>
    <t>Капитальный ремонт автомобильных дорог города Орла на улицах частной жилой застройки: ул. Шульгина 1 этап</t>
  </si>
  <si>
    <t>Капитальный ремонт автомобильных дорог города Орла на улицах частной жилой застройки: пер. Кировский</t>
  </si>
  <si>
    <t>Капитальный ремонт автомобильных дорог города Орла на улицах частной жилой застройки: пер. Смоленский</t>
  </si>
  <si>
    <t>Капитальный ремонт автомобильных дорог города Орла на улицах частной жилой застройки: ул. Текстильная</t>
  </si>
  <si>
    <t>Капитальный ремонт автомобильных дорог города Орла на улицах частной жилой застройки: ул. Лазо</t>
  </si>
  <si>
    <t>Капитальный ремонт улично-дорожной сети города Орла: ул.Карачевская, ул.Гостиная, ул.Пушкина</t>
  </si>
  <si>
    <t>Ремонт автомобильной дороги города Орла по ул. Городская (проезжая часть), Капитальный ремонт автомобильной дороги города Орла по ул. Городская (прилегающая территория)</t>
  </si>
  <si>
    <t>ФБ</t>
  </si>
  <si>
    <t>город</t>
  </si>
  <si>
    <t>ИТОГО</t>
  </si>
  <si>
    <t>Капитальный ремонт автомобильной дороги города Орла по ул. Раздольная от Болховского шоссе до ул. Михалицына с территорией моста через р. Ока "Раздольный" и путепровода "378 км по ул. Михалицына"</t>
  </si>
  <si>
    <t>ремонт автомобильной дороги города Орла по ул. Раздольная от ул. Бурова до кольцевой развязки</t>
  </si>
  <si>
    <t>МКУ "ОМЗ г.Орла",                   МБУ "Спецавтобаза по  санитарной очистке города Орла"</t>
  </si>
  <si>
    <t>8.15.</t>
  </si>
  <si>
    <t>область</t>
  </si>
  <si>
    <t>федерация</t>
  </si>
  <si>
    <t>жд</t>
  </si>
  <si>
    <t>сняли</t>
  </si>
  <si>
    <t>салтыкова-щедрина 24 год, не учтен перенос лимитов 2023 года</t>
  </si>
  <si>
    <t>Капитальный ремонт проезда к озеру Светлая жизнь</t>
  </si>
  <si>
    <t>уведомление бухгалтерии</t>
  </si>
  <si>
    <t>лимиты 2024 года</t>
  </si>
  <si>
    <t>7.5.</t>
  </si>
  <si>
    <t>7.7.</t>
  </si>
  <si>
    <t>нанесение дорожной разметки на ул. М. Горького, на участке дороги пл. Ленина до ул. 70 лет Октября (краска, не входящая в основной МК по БДД)</t>
  </si>
  <si>
    <t>монтаж внешнего электроснабжения средств контроля соблюдения ПДД, согласно ТУ  7120 от 30.11.2021 г. (оплачено по счету № 2775 от 30.11.2021 г. в сумме 32787,18 руб.) - нерегулируемый пешеходный переход</t>
  </si>
  <si>
    <t xml:space="preserve">устройство пешеходной дорожки по ул. Матвеева в р-не школы № 37 </t>
  </si>
  <si>
    <t>устройство (монтаж) недостающих средств организации и регулирования дорожного движения в районе дома 
№ 97 по Наугорскому шоссе</t>
  </si>
  <si>
    <t>устройство (монтаж) недостающих средств организации и регулирования дорожного движения по ул.Паровозная в районе д.72, д.27, д.17А, д.4, д.14 (кредиторская задолженность)</t>
  </si>
  <si>
    <t>устройство (монтаж) недостающих средств организации и регулирования дорожного движения в районе д.177 по Московскому шоссе</t>
  </si>
  <si>
    <t>устройство (монтаж) недостающих средств организации и регулирования дорожного движения ул.Матвеева в районе школы №37</t>
  </si>
  <si>
    <t>7.2.</t>
  </si>
  <si>
    <t>700 на освещение ДОП</t>
  </si>
  <si>
    <t>7.3.</t>
  </si>
  <si>
    <t>7.4.</t>
  </si>
  <si>
    <t>Капитальный ремонт улично-дорожной сети города Орла по ул. Салтыкова-Щедрина с территорией прилегающих улиц (ул. 7 Ноября от дома № 8 до дома № 9 по ул. Салтыкова-Щедрина, ул. Тургенева от ул. Салтыкова-Щедрина до ул. Октябрьская, ул. Брестская от ул. Максима Горького до ул. Салтыкова-Щедрина, ул. Полесская от ул. Салтыкова-Щедрина до ул. Октябрьская, ул. Гуртьева от дома № 2 до ул. Максима Горького, ул. Красноармейская от дома № 4 до дома № 7).</t>
  </si>
  <si>
    <t>итого по 578-р от 21.08.2023</t>
  </si>
  <si>
    <t>1.1.7.</t>
  </si>
  <si>
    <t>Ремонт ул.7-ой Орловской дивизии (элементы обустройства автомобильных дорог)</t>
  </si>
  <si>
    <t>Протяженность, м</t>
  </si>
  <si>
    <t>Сумма, рублей</t>
  </si>
  <si>
    <t>Перечень улиц согласно МК 56 от</t>
  </si>
  <si>
    <t>Капитальный ремонт автомобильных дорог города Орла на улицах частной жилой застройки: ул.Волжская</t>
  </si>
  <si>
    <t>Капитальный ремонт автомобильных дорог города Орла на улицах частной жилой застройки: ул.Гвардейская</t>
  </si>
  <si>
    <t xml:space="preserve">Капитальный ремонт автомобильных дорог города Орла на улицах частной жилой застройки: ул. Магазинная </t>
  </si>
  <si>
    <t>Капитальный ремонт автомобильных дорог города Орла на улицах частной жилой застройки: пер. Пойменный</t>
  </si>
  <si>
    <t>Капитальный ремонт автомобильных дорог города Орла на улицах частной жилой застройки: Равнинный пер.</t>
  </si>
  <si>
    <t>Капитальный ремонт автомобильных дорог города Орла на улицах частной жилой застройки: проезд Парковый</t>
  </si>
  <si>
    <t>Капитальный ремонт автомобильных дорог города Орла на улицах частной жилой застройки:ул. Садово-Пушкарная</t>
  </si>
  <si>
    <t>7.6.</t>
  </si>
  <si>
    <t>обеспечение информационной безопасности объекта КИИ</t>
  </si>
  <si>
    <t>городские</t>
  </si>
  <si>
    <t>МКУ "ОМЗ г.Орла"                                           МБУ "Спецавтобаза по  санитарной очистке города Орла"</t>
  </si>
  <si>
    <t>МБУ "Спецавтобаза по  санитарной очистке города Орла"</t>
  </si>
  <si>
    <t>МКУ "ОМЗ г.Орла"                                                                        МБУ "Спецавтобаза по  санитарной очистке города Орла"</t>
  </si>
  <si>
    <t>МКУ "ОМЗ г.Орла"                                    МБУ "Спецавтобаза по  санитарной очистке города Орла"</t>
  </si>
  <si>
    <t>1.8.</t>
  </si>
  <si>
    <t>893-р от 27.11.2023</t>
  </si>
  <si>
    <t>804-р 31.10.2023</t>
  </si>
  <si>
    <t>Капитальный ремонт автомобильных дорог города Орла на улицах частной жилой застройки: ул. Краснозоренская</t>
  </si>
  <si>
    <t>заводской</t>
  </si>
  <si>
    <t>лимиты по 80-р</t>
  </si>
  <si>
    <t>КЗ САБ по 101-р</t>
  </si>
  <si>
    <t>проезд вдоль дома № 52 по ул. Роза Люксембург</t>
  </si>
  <si>
    <t>проезд по ул. Нормандия Неман д.№ 101</t>
  </si>
  <si>
    <t>увеличение уровня освещенности автомобильных дорог</t>
  </si>
  <si>
    <t>знаки 35 млн; светофоры-18, светофоры-12; разметка-САБ</t>
  </si>
  <si>
    <t>ул. Кузнецова</t>
  </si>
  <si>
    <t>ул. Лескова от ул. Матвеева до ул. Пионерской</t>
  </si>
  <si>
    <t>ул. Октябрьская от ул. Пионерская до ул. Полесская</t>
  </si>
  <si>
    <t>ул.60-летия Октября от ул. 8 Марта до моста в створе ул. Герцена и ул. 60-летия Октября через р.Оку (включая проезжую часть моста)</t>
  </si>
  <si>
    <t>доп на ямочный ремонт по 125-р</t>
  </si>
  <si>
    <t>ул.Ленина от ул.Салтыкова-Щедрина до ул.Максима Горького</t>
  </si>
  <si>
    <t>ул.Покровская от ул.Московская до ул.Советская</t>
  </si>
  <si>
    <t>ЛБО 2026</t>
  </si>
  <si>
    <t xml:space="preserve">Капитальный ремонт автомобильной дороги города Орла по ул.Комсомольская на участке от ул.Гостиная до ул.Красина </t>
  </si>
  <si>
    <t>1.1.6.</t>
  </si>
  <si>
    <t xml:space="preserve">выполнение работ по разметке и демаркировке разметки проезжей части дорог в рамках БДД </t>
  </si>
  <si>
    <t>выполнение работ по содержанию и обслуживанию объектов безопасности дорожного движения (светофоры, знаки)</t>
  </si>
  <si>
    <t>восстановление существующего остановочного павильона на остановке общевенного транспорта "Сквер Гуртьева" по ул. Октябрьская</t>
  </si>
  <si>
    <t>ул. Поселковая от моста «Лужковский» через реку Оку до границы города Орла</t>
  </si>
  <si>
    <t>ул. Алроса;</t>
  </si>
  <si>
    <t>ул. Зеленина;</t>
  </si>
  <si>
    <t>бульвар Молодежи</t>
  </si>
  <si>
    <t>ул. 1-я Курская от дома № 92 до ул. Магазинная (исключая территорию путепровода)</t>
  </si>
  <si>
    <t>ул. Раздольная от ул. Бурова до ул. Металлургов</t>
  </si>
  <si>
    <t>Ремонт улично-дорожной сети города Орла: ул.Бурова (завершение)</t>
  </si>
  <si>
    <t>6.1</t>
  </si>
  <si>
    <t>6.2</t>
  </si>
  <si>
    <t>6.3</t>
  </si>
  <si>
    <t>6.4</t>
  </si>
  <si>
    <t>6.5</t>
  </si>
  <si>
    <t>6.6</t>
  </si>
  <si>
    <t>6.7</t>
  </si>
  <si>
    <t>6.8</t>
  </si>
  <si>
    <t>6.9</t>
  </si>
  <si>
    <t>6.10</t>
  </si>
  <si>
    <t>6.11</t>
  </si>
  <si>
    <t>Капитальный ремонт автомобильных дорог города Орла на улицах частной жилой застройки: пер.Южный 3 участок</t>
  </si>
  <si>
    <t>Капитальный ремонт автомобильных дорог города Орла на улицах частной жилой застройки: ул. 6 Орловской дивизии (на участке от ул. Афонина до ул. Поселковая)</t>
  </si>
  <si>
    <t>Капитальный ремонт автомобильных дорог города Орла на улицах частной жилой застройки: ул. Тимирязева</t>
  </si>
  <si>
    <t xml:space="preserve">Капитальный ремонт автомобильных дорог города Орла на улицах частной жилой застройки: ул. Медведева </t>
  </si>
  <si>
    <t>Капитальный ремонт автомобильной дороги по ул. Красина</t>
  </si>
  <si>
    <t xml:space="preserve">Капитальный ремонт автомобильной дороги по ул. Красноармейская </t>
  </si>
  <si>
    <t xml:space="preserve">Капитальный ремонт автомобильной дороги по ул. Сурена Шаумяна </t>
  </si>
  <si>
    <t>Капитальный ремонт автомобильной дороги по ул Тургенева на участке от ул. Брестская до дома № 17 по ул. Ленина</t>
  </si>
  <si>
    <t xml:space="preserve">Капитальный ремонт автомобильной дороги по ул. Брестская </t>
  </si>
  <si>
    <t>Капитальный ремонт автомобильной дороги по ул. 1-ая Посадская на участке от ул. Комсомольская до моста Тургеневский через р. Орлик ул. Тургенева</t>
  </si>
  <si>
    <t>Капитальный ремонт автомобильной дороги по ул. Максима Горького на участке от ул. Брестская до ул. 7 Ноября</t>
  </si>
  <si>
    <t xml:space="preserve">Капитальный ремонт автомобильной дороги по ул. Тургенева на участке от ул. Салтыкова-Щедрина до моста Тургеневский через р. Орлик </t>
  </si>
  <si>
    <t>Капитальный ремонт автомобильной дороги по ул.Игнатова-ул.Приборостроительная от разворотного кольца до ул.Октябрьская</t>
  </si>
  <si>
    <t>Средства Дорожного фонда Орловской области, тыс. руб.</t>
  </si>
  <si>
    <t>Капитальный ремонт автомобильных дорог города Орла на улицах частной жилой застройки: ул. Ново-Лужковская</t>
  </si>
  <si>
    <t>8.2</t>
  </si>
  <si>
    <t>8.3</t>
  </si>
  <si>
    <t>8.4</t>
  </si>
  <si>
    <t>8.5</t>
  </si>
  <si>
    <t>8.6</t>
  </si>
  <si>
    <t>8.7</t>
  </si>
  <si>
    <t>8.8</t>
  </si>
  <si>
    <t>8.9</t>
  </si>
  <si>
    <t>8.10</t>
  </si>
  <si>
    <t>8.11</t>
  </si>
  <si>
    <t>8.12</t>
  </si>
  <si>
    <t>8.13</t>
  </si>
  <si>
    <t>8.14</t>
  </si>
  <si>
    <t>8.15</t>
  </si>
  <si>
    <t>8.16</t>
  </si>
  <si>
    <t>8.17</t>
  </si>
  <si>
    <t>8.18</t>
  </si>
  <si>
    <t>8.19</t>
  </si>
  <si>
    <t>8.20</t>
  </si>
  <si>
    <t>8.21</t>
  </si>
  <si>
    <t>8.22</t>
  </si>
  <si>
    <t>8.23</t>
  </si>
  <si>
    <t>8.24</t>
  </si>
  <si>
    <t>8.25</t>
  </si>
  <si>
    <t>8.26</t>
  </si>
  <si>
    <t>8.27</t>
  </si>
  <si>
    <t>8.28</t>
  </si>
  <si>
    <t>8.29</t>
  </si>
  <si>
    <t>8.30</t>
  </si>
  <si>
    <t>8.31</t>
  </si>
  <si>
    <t>8.32</t>
  </si>
  <si>
    <t>8.33</t>
  </si>
  <si>
    <t>8.34</t>
  </si>
  <si>
    <t>8.35</t>
  </si>
  <si>
    <t>8.36</t>
  </si>
  <si>
    <t>8.37</t>
  </si>
  <si>
    <t>8.38</t>
  </si>
  <si>
    <t>8.39</t>
  </si>
  <si>
    <t>8.40</t>
  </si>
  <si>
    <t>8.41</t>
  </si>
  <si>
    <t>8.42</t>
  </si>
  <si>
    <t>8.43</t>
  </si>
  <si>
    <t>8.44</t>
  </si>
  <si>
    <t>8.45</t>
  </si>
  <si>
    <t>8.46</t>
  </si>
  <si>
    <t>8.47</t>
  </si>
  <si>
    <t>8.48</t>
  </si>
  <si>
    <t>8.49</t>
  </si>
  <si>
    <t>8.50</t>
  </si>
  <si>
    <t>8.51</t>
  </si>
  <si>
    <t>8.52</t>
  </si>
  <si>
    <t>8.53</t>
  </si>
  <si>
    <t>8.54</t>
  </si>
  <si>
    <t>8.55</t>
  </si>
  <si>
    <t>8.56</t>
  </si>
  <si>
    <t>8.57</t>
  </si>
  <si>
    <t>8.58</t>
  </si>
  <si>
    <t>8.59</t>
  </si>
  <si>
    <t>8.60</t>
  </si>
  <si>
    <t>8.61</t>
  </si>
  <si>
    <t>8.62</t>
  </si>
  <si>
    <t>8.63</t>
  </si>
  <si>
    <t>8.64</t>
  </si>
  <si>
    <t>8.65</t>
  </si>
  <si>
    <t>8.66</t>
  </si>
  <si>
    <t>Капитальный ремонт автомобильных дорог города Орла на улицах частной жилой застройки: ул. Станционная</t>
  </si>
  <si>
    <t>ул. Полесская от ул. Максима Горького до ул. Генерала Родина (2 этап)</t>
  </si>
  <si>
    <t>3.8.</t>
  </si>
  <si>
    <t>Восстановление верхних слоев дорожной одежды -                          не  менее 71 000 кв.м ежегодно; приобретение дорожной техники -                                           52 ед. (приложение 4)</t>
  </si>
  <si>
    <t xml:space="preserve">Площадь отремонтированных объектов УДС города Орла </t>
  </si>
  <si>
    <t xml:space="preserve">Площадь отремонтированных объектов УДС города Орла -                                               </t>
  </si>
  <si>
    <t>Ремонт ул. Советская от наб. Дубровинского до ул. Герцена</t>
  </si>
  <si>
    <t>Ремонт ул.Пролетарская Гора от ул.Салтыкова-Щедрина до ул. Максима Горького, от дома №5 до ул.Ленина (1 этап)</t>
  </si>
  <si>
    <t>Ремонт ул.Пролетарская Гора от ул.Салтыкова-Щедрина до ул. Максима Горького, от дома №5 до ул.Ленина (2 этап)</t>
  </si>
  <si>
    <t>Ремонт ул.Покровская от ул.Московская до ул.Советская</t>
  </si>
  <si>
    <t xml:space="preserve">Капитальный ремонт улично-дорожной сети города Орла по ул.Салтыкова-Щедрина с территорией прилегающих улиц (ул. 7 Ноября от д.№8 до д.№9 по ул. Салтыкова-Щедрина, ул. Тургенева от ул. Салтыкова-Щедрина ло ул. Октябрьская, ул. Брестская от ул. Максима Горького до ул. Салтыкова-Щедрина, ул. Полесская от ул. Салтыкова-Щедрина до ул. Октябрьская, ул. Гуртьева от д. №2 до ул. Максима Горького, ул. Красноармейская от д.№4 до д.№6) </t>
  </si>
  <si>
    <t xml:space="preserve">Кромское шоссе на участке от пересечения с ул. Высоковольтная до границ города Орла </t>
  </si>
  <si>
    <t>ул. Игнатова от ул. Октябрьская до ул. Цветаева, ул. Цветаева от ул. Игнатова до ул. Приборостроительной, ул. Приборостроительная от ул. Цветаева до ул. Героев Пожарных, ул. Героев Пожарных от ул. Приборостроительной до Наугорского шоссе</t>
  </si>
  <si>
    <t>ул. Цветаева от ул. Полесская до Наугорского шоссе</t>
  </si>
  <si>
    <t>ул. Комсомольская от ул. Гостиная до ул. Красина</t>
  </si>
  <si>
    <t>Выполнение работ по разработке проектно-сметной документации, получение положительного заключения государственной экспертизы и выполнение работ по капитальному ремонту по ул. Михалицына (прилегающая территория) с примыканием ул. Космонавтов на участке от 
ул. Михалицына до дома № 15 по пер. Межевой</t>
  </si>
  <si>
    <t>Ремонт ул. Советская (восстановление бортовых камней)</t>
  </si>
  <si>
    <t>3.9.</t>
  </si>
  <si>
    <t>7.2</t>
  </si>
  <si>
    <t>7.3</t>
  </si>
  <si>
    <t>7.4</t>
  </si>
  <si>
    <t>7.5</t>
  </si>
  <si>
    <t>7.6</t>
  </si>
  <si>
    <t>7.7</t>
  </si>
  <si>
    <t>7.8</t>
  </si>
  <si>
    <t>7.9</t>
  </si>
  <si>
    <t>7.10</t>
  </si>
  <si>
    <t>7.11</t>
  </si>
  <si>
    <t>7.12</t>
  </si>
  <si>
    <t>7.13</t>
  </si>
  <si>
    <t>7.14</t>
  </si>
  <si>
    <t>7.15</t>
  </si>
  <si>
    <t>7.16</t>
  </si>
  <si>
    <t>7.17</t>
  </si>
  <si>
    <t>7.18</t>
  </si>
  <si>
    <t>7.19</t>
  </si>
  <si>
    <t>7.20</t>
  </si>
  <si>
    <t>7.21</t>
  </si>
  <si>
    <t>7.22</t>
  </si>
  <si>
    <t>7.23</t>
  </si>
  <si>
    <t>7.24</t>
  </si>
  <si>
    <t>7.25</t>
  </si>
  <si>
    <t>7.26</t>
  </si>
  <si>
    <t>7.27</t>
  </si>
  <si>
    <t>7.28</t>
  </si>
  <si>
    <t>7.29</t>
  </si>
  <si>
    <t>7.30</t>
  </si>
  <si>
    <t>7.31</t>
  </si>
  <si>
    <t>7.32</t>
  </si>
  <si>
    <t>7.33</t>
  </si>
  <si>
    <t>7.34</t>
  </si>
  <si>
    <t>7.35</t>
  </si>
  <si>
    <t>7.36</t>
  </si>
  <si>
    <t>7.37</t>
  </si>
  <si>
    <t>7.38</t>
  </si>
  <si>
    <t>7.39</t>
  </si>
  <si>
    <t>7.40</t>
  </si>
  <si>
    <t>7.41</t>
  </si>
  <si>
    <t>7.42</t>
  </si>
  <si>
    <t>7.43</t>
  </si>
  <si>
    <t>7.44</t>
  </si>
  <si>
    <t>7.45</t>
  </si>
  <si>
    <t>7.46</t>
  </si>
  <si>
    <t>7.47</t>
  </si>
  <si>
    <t>7.48</t>
  </si>
  <si>
    <t>7.49</t>
  </si>
  <si>
    <t>7.50</t>
  </si>
  <si>
    <t>7.51</t>
  </si>
  <si>
    <t>7.52</t>
  </si>
  <si>
    <t>7.53</t>
  </si>
  <si>
    <t>7.54</t>
  </si>
  <si>
    <t>7.55</t>
  </si>
  <si>
    <t>7.56</t>
  </si>
  <si>
    <t>7.57</t>
  </si>
  <si>
    <t>7.58</t>
  </si>
  <si>
    <t>7.59</t>
  </si>
  <si>
    <t>7.60</t>
  </si>
  <si>
    <t>7.61</t>
  </si>
  <si>
    <t>7.62</t>
  </si>
  <si>
    <t xml:space="preserve">Капитальный ремонт автомобильной дороги ул. Русанова на участке от пересечения с наб. Дубровинского до пересечения с ул. 1-я Курская </t>
  </si>
  <si>
    <t xml:space="preserve">Капитальный ремонт автомобильной дороги ул. Колхозная </t>
  </si>
  <si>
    <t>7.63</t>
  </si>
  <si>
    <t>Ремонт ул. Васильевская</t>
  </si>
  <si>
    <t xml:space="preserve">Капитальный ремонт автомобильной дороги ул. Тамбовская </t>
  </si>
  <si>
    <t xml:space="preserve">Капитальный ремонт автомобильной дороги ул. Солнцевская </t>
  </si>
  <si>
    <t xml:space="preserve">Капитальный ремонт автомобильной дороги ул. Пархоменко </t>
  </si>
  <si>
    <t xml:space="preserve">Капитальный ремонт улично-дорожной сети города Орла по ул.Салтыкова-Щедрина с территорией прилегающих улиц (ул. 7 Ноября от д.№8 до д.№9 по ул. Салтыкова-Щедрина, ул. Тургенева от ул. Салтыкова-Щедрина ло ул. Октябрьская,  ул. Гуртьева от д. №2 до ул. Максима Горького, ул. Красноармейская от д.№4 до д.№6 (корректировка) </t>
  </si>
  <si>
    <t xml:space="preserve">ул. Полесская от ул. Максима Горького до ул. Генерала Родина </t>
  </si>
  <si>
    <t>капитальный ремонт ул. Энгельса (2 этап);</t>
  </si>
  <si>
    <t>капитальный ремонт ул. 1-ая Пушкарная;</t>
  </si>
  <si>
    <t>ремонт ул. 3-я Курская;</t>
  </si>
  <si>
    <t>ремонт пер. Новосильский</t>
  </si>
  <si>
    <t>капитальный ремонт ул. Комсомольская от Гостиной до Красина (корректировка)</t>
  </si>
  <si>
    <t>Капитальный ремонт автомобильных дорог города Орла на улицах частной жилой застройки: ул.Лужковская от ул. Поселковая до ул. Афонина</t>
  </si>
  <si>
    <t xml:space="preserve">Капитальный ремонт автомобильных дорог города Орла на улицах частной жилой застройки: ул.Уральская </t>
  </si>
  <si>
    <t>Капитальный ремонт автомобильных дорог города Орла на улицах частной жилой застройки: ул. Смоленская</t>
  </si>
  <si>
    <t>Капитальный ремонт автомобильных дорог города Орла на улицах частной жилой застройки: пер.Южный от ул. Тульской до ул. Ольховецкой</t>
  </si>
  <si>
    <t>Начальник  управления строительства, дорожного хозяйства и благоустройства</t>
  </si>
  <si>
    <t xml:space="preserve">Начальник управления строительства, дорожного хозяйства и благоустройства администрации города Орла </t>
  </si>
  <si>
    <t>Начальник  управления строительства,</t>
  </si>
  <si>
    <t>от 31 июля 2024 №3644</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</si>
</sst>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00000"/>
    <numFmt numFmtId="165" formatCode="#,##0.00000_ ;\-#,##0.00000\ "/>
    <numFmt numFmtId="166" formatCode="#,##0.0000"/>
    <numFmt numFmtId="167" formatCode="0.0000"/>
    <numFmt numFmtId="168" formatCode="0.00000"/>
    <numFmt numFmtId="169" formatCode="#,##0.000000"/>
    <numFmt numFmtId="170" formatCode="#,##0.000"/>
    <numFmt numFmtId="171" formatCode="#,##0.0000000"/>
    <numFmt numFmtId="172" formatCode="0.0%"/>
    <numFmt numFmtId="173" formatCode="0.0000%"/>
    <numFmt numFmtId="174" formatCode="#,##0.0"/>
  </numFmts>
  <fonts count="8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9"/>
      <color indexed="81"/>
      <name val="Tahoma"/>
      <family val="2"/>
      <charset val="204"/>
    </font>
    <font>
      <b/>
      <sz val="9"/>
      <color indexed="81"/>
      <name val="Tahoma"/>
      <family val="2"/>
      <charset val="204"/>
    </font>
    <font>
      <sz val="13"/>
      <color theme="1"/>
      <name val="Times New Roman"/>
      <family val="1"/>
      <charset val="204"/>
    </font>
    <font>
      <b/>
      <sz val="13"/>
      <color theme="1"/>
      <name val="Times New Roman"/>
      <family val="1"/>
      <charset val="204"/>
    </font>
    <font>
      <b/>
      <i/>
      <sz val="13"/>
      <color theme="1"/>
      <name val="Times New Roman"/>
      <family val="1"/>
      <charset val="204"/>
    </font>
    <font>
      <sz val="12"/>
      <color theme="1"/>
      <name val="Times New Roman"/>
      <family val="1"/>
      <charset val="204"/>
    </font>
    <font>
      <b/>
      <sz val="12"/>
      <color theme="1"/>
      <name val="Times New Roman"/>
      <family val="1"/>
      <charset val="204"/>
    </font>
    <font>
      <sz val="12"/>
      <name val="Times New Roman"/>
      <family val="1"/>
      <charset val="204"/>
    </font>
    <font>
      <sz val="13"/>
      <name val="Times New Roman"/>
      <family val="1"/>
      <charset val="204"/>
    </font>
    <font>
      <sz val="11"/>
      <color theme="1"/>
      <name val="Times New Roman"/>
      <family val="1"/>
      <charset val="204"/>
    </font>
    <font>
      <sz val="14"/>
      <color theme="1"/>
      <name val="Times New Roman"/>
      <family val="1"/>
      <charset val="204"/>
    </font>
    <font>
      <sz val="14"/>
      <color theme="1"/>
      <name val="Calibri"/>
      <family val="2"/>
      <charset val="204"/>
      <scheme val="minor"/>
    </font>
    <font>
      <b/>
      <sz val="11"/>
      <color theme="1"/>
      <name val="Times New Roman"/>
      <family val="1"/>
      <charset val="204"/>
    </font>
    <font>
      <b/>
      <i/>
      <sz val="12"/>
      <color theme="1"/>
      <name val="Times New Roman"/>
      <family val="1"/>
      <charset val="204"/>
    </font>
    <font>
      <b/>
      <sz val="16"/>
      <color theme="1"/>
      <name val="Times New Roman"/>
      <family val="1"/>
      <charset val="204"/>
    </font>
    <font>
      <b/>
      <sz val="16"/>
      <color theme="1"/>
      <name val="Calibri"/>
      <family val="2"/>
      <scheme val="minor"/>
    </font>
    <font>
      <b/>
      <sz val="12"/>
      <name val="Times New Roman"/>
      <family val="1"/>
      <charset val="204"/>
    </font>
    <font>
      <sz val="13"/>
      <color theme="1"/>
      <name val="Calibri"/>
      <family val="2"/>
      <scheme val="minor"/>
    </font>
    <font>
      <b/>
      <sz val="13"/>
      <color theme="1"/>
      <name val="Calibri"/>
      <family val="2"/>
      <scheme val="minor"/>
    </font>
    <font>
      <b/>
      <sz val="14"/>
      <color theme="1"/>
      <name val="Times New Roman"/>
      <family val="1"/>
      <charset val="204"/>
    </font>
    <font>
      <sz val="12"/>
      <color rgb="FFFF0000"/>
      <name val="Times New Roman"/>
      <family val="1"/>
      <charset val="204"/>
    </font>
    <font>
      <sz val="13"/>
      <color rgb="FFFF0000"/>
      <name val="Times New Roman"/>
      <family val="1"/>
      <charset val="204"/>
    </font>
    <font>
      <b/>
      <sz val="11"/>
      <color theme="1"/>
      <name val="Calibri"/>
      <family val="2"/>
      <charset val="204"/>
      <scheme val="minor"/>
    </font>
    <font>
      <i/>
      <sz val="11"/>
      <color theme="1"/>
      <name val="Times New Roman"/>
      <family val="1"/>
      <charset val="204"/>
    </font>
    <font>
      <i/>
      <sz val="12"/>
      <color theme="1"/>
      <name val="Times New Roman"/>
      <family val="1"/>
      <charset val="204"/>
    </font>
    <font>
      <i/>
      <sz val="12"/>
      <name val="Times New Roman"/>
      <family val="1"/>
      <charset val="204"/>
    </font>
    <font>
      <i/>
      <sz val="11"/>
      <color theme="1"/>
      <name val="Calibri"/>
      <family val="2"/>
      <scheme val="minor"/>
    </font>
    <font>
      <i/>
      <sz val="11"/>
      <color theme="1"/>
      <name val="Calibri"/>
      <family val="2"/>
      <charset val="204"/>
      <scheme val="minor"/>
    </font>
    <font>
      <sz val="12"/>
      <color theme="1"/>
      <name val="Calibri"/>
      <family val="2"/>
      <scheme val="minor"/>
    </font>
    <font>
      <i/>
      <sz val="12"/>
      <color theme="1"/>
      <name val="Calibri"/>
      <family val="2"/>
      <scheme val="minor"/>
    </font>
    <font>
      <sz val="12"/>
      <color theme="1"/>
      <name val="Calibri"/>
      <family val="2"/>
      <charset val="204"/>
      <scheme val="minor"/>
    </font>
    <font>
      <sz val="13"/>
      <color rgb="FF002060"/>
      <name val="Times New Roman"/>
      <family val="1"/>
      <charset val="204"/>
    </font>
    <font>
      <sz val="12"/>
      <color rgb="FF002060"/>
      <name val="Times New Roman"/>
      <family val="1"/>
      <charset val="204"/>
    </font>
    <font>
      <b/>
      <sz val="12"/>
      <color rgb="FF0070C0"/>
      <name val="Times New Roman"/>
      <family val="1"/>
      <charset val="204"/>
    </font>
    <font>
      <sz val="12"/>
      <color rgb="FFFF0000"/>
      <name val="Calibri"/>
      <family val="2"/>
      <scheme val="minor"/>
    </font>
    <font>
      <sz val="11"/>
      <color rgb="FFFF0000"/>
      <name val="Calibri"/>
      <family val="2"/>
      <scheme val="minor"/>
    </font>
    <font>
      <sz val="16"/>
      <color theme="1"/>
      <name val="Times New Roman"/>
      <family val="1"/>
      <charset val="204"/>
    </font>
    <font>
      <sz val="16"/>
      <color theme="1"/>
      <name val="Calibri"/>
      <family val="2"/>
      <charset val="204"/>
      <scheme val="minor"/>
    </font>
    <font>
      <sz val="16"/>
      <color theme="1"/>
      <name val="Calibri"/>
      <family val="2"/>
      <scheme val="minor"/>
    </font>
    <font>
      <sz val="12"/>
      <color theme="9" tint="-0.499984740745262"/>
      <name val="Times New Roman"/>
      <family val="1"/>
      <charset val="204"/>
    </font>
    <font>
      <sz val="12"/>
      <color theme="9" tint="-0.499984740745262"/>
      <name val="Calibri"/>
      <family val="2"/>
      <scheme val="minor"/>
    </font>
    <font>
      <sz val="11"/>
      <color theme="9" tint="-0.499984740745262"/>
      <name val="Calibri"/>
      <family val="2"/>
      <scheme val="minor"/>
    </font>
    <font>
      <sz val="11"/>
      <color rgb="FF7030A0"/>
      <name val="Calibri"/>
      <family val="2"/>
      <scheme val="minor"/>
    </font>
    <font>
      <sz val="13"/>
      <color theme="3"/>
      <name val="Times New Roman"/>
      <family val="1"/>
      <charset val="204"/>
    </font>
    <font>
      <b/>
      <sz val="11"/>
      <color theme="1"/>
      <name val="Calibri"/>
      <family val="2"/>
      <scheme val="minor"/>
    </font>
    <font>
      <i/>
      <sz val="12"/>
      <color rgb="FFFF0000"/>
      <name val="Calibri"/>
      <family val="2"/>
      <scheme val="minor"/>
    </font>
    <font>
      <i/>
      <sz val="11"/>
      <color rgb="FFFF0000"/>
      <name val="Calibri"/>
      <family val="2"/>
      <scheme val="minor"/>
    </font>
    <font>
      <sz val="12"/>
      <color theme="3" tint="-0.249977111117893"/>
      <name val="Times New Roman"/>
      <family val="1"/>
      <charset val="204"/>
    </font>
    <font>
      <sz val="12"/>
      <color theme="3" tint="-0.249977111117893"/>
      <name val="Calibri"/>
      <family val="2"/>
      <scheme val="minor"/>
    </font>
    <font>
      <sz val="11"/>
      <color theme="3" tint="-0.249977111117893"/>
      <name val="Calibri"/>
      <family val="2"/>
      <scheme val="minor"/>
    </font>
    <font>
      <b/>
      <sz val="11"/>
      <color rgb="FFFF0000"/>
      <name val="Calibri"/>
      <family val="2"/>
      <charset val="204"/>
      <scheme val="minor"/>
    </font>
    <font>
      <b/>
      <sz val="11"/>
      <color rgb="FF002060"/>
      <name val="Calibri"/>
      <family val="2"/>
      <charset val="204"/>
      <scheme val="minor"/>
    </font>
    <font>
      <sz val="13"/>
      <color theme="7" tint="-0.499984740745262"/>
      <name val="Times New Roman"/>
      <family val="1"/>
      <charset val="204"/>
    </font>
    <font>
      <sz val="13"/>
      <color theme="6" tint="-0.499984740745262"/>
      <name val="Times New Roman"/>
      <family val="1"/>
      <charset val="204"/>
    </font>
    <font>
      <sz val="12"/>
      <color theme="6" tint="-0.499984740745262"/>
      <name val="Times New Roman"/>
      <family val="1"/>
      <charset val="204"/>
    </font>
    <font>
      <sz val="13"/>
      <color theme="5" tint="-0.499984740745262"/>
      <name val="Times New Roman"/>
      <family val="1"/>
      <charset val="204"/>
    </font>
    <font>
      <sz val="12"/>
      <color theme="5" tint="-0.499984740745262"/>
      <name val="Times New Roman"/>
      <family val="1"/>
      <charset val="204"/>
    </font>
    <font>
      <sz val="12"/>
      <color theme="5" tint="-0.499984740745262"/>
      <name val="Calibri"/>
      <family val="2"/>
      <scheme val="minor"/>
    </font>
    <font>
      <sz val="11"/>
      <color theme="5" tint="-0.499984740745262"/>
      <name val="Calibri"/>
      <family val="2"/>
      <scheme val="minor"/>
    </font>
    <font>
      <i/>
      <sz val="12"/>
      <color rgb="FFFF0000"/>
      <name val="Times New Roman"/>
      <family val="1"/>
      <charset val="204"/>
    </font>
    <font>
      <b/>
      <sz val="12"/>
      <color theme="1"/>
      <name val="Calibri"/>
      <family val="2"/>
      <scheme val="minor"/>
    </font>
    <font>
      <i/>
      <sz val="11"/>
      <color rgb="FFFF0000"/>
      <name val="Times New Roman"/>
      <family val="1"/>
      <charset val="204"/>
    </font>
    <font>
      <b/>
      <sz val="12"/>
      <color theme="1"/>
      <name val="Calibri"/>
      <family val="2"/>
      <charset val="204"/>
      <scheme val="minor"/>
    </font>
    <font>
      <b/>
      <i/>
      <sz val="11"/>
      <color theme="1"/>
      <name val="Calibri"/>
      <family val="2"/>
      <charset val="204"/>
      <scheme val="minor"/>
    </font>
    <font>
      <sz val="12"/>
      <color rgb="FFFF0000"/>
      <name val="Calibri"/>
      <family val="2"/>
      <charset val="204"/>
      <scheme val="minor"/>
    </font>
    <font>
      <i/>
      <sz val="12"/>
      <color theme="1"/>
      <name val="Calibri"/>
      <family val="2"/>
      <charset val="204"/>
      <scheme val="minor"/>
    </font>
    <font>
      <sz val="10"/>
      <name val="Arial"/>
      <family val="2"/>
      <charset val="204"/>
    </font>
    <font>
      <sz val="14"/>
      <color rgb="FFFF0000"/>
      <name val="Times New Roman"/>
      <family val="1"/>
      <charset val="204"/>
    </font>
    <font>
      <b/>
      <sz val="12"/>
      <color indexed="81"/>
      <name val="Tahoma"/>
      <family val="2"/>
      <charset val="204"/>
    </font>
    <font>
      <sz val="12"/>
      <color indexed="81"/>
      <name val="Tahoma"/>
      <family val="2"/>
      <charset val="204"/>
    </font>
    <font>
      <b/>
      <sz val="11"/>
      <color indexed="81"/>
      <name val="Tahoma"/>
      <family val="2"/>
      <charset val="204"/>
    </font>
    <font>
      <sz val="11"/>
      <color indexed="81"/>
      <name val="Tahoma"/>
      <family val="2"/>
      <charset val="204"/>
    </font>
    <font>
      <b/>
      <sz val="14"/>
      <color theme="1"/>
      <name val="Calibri"/>
      <family val="2"/>
      <charset val="204"/>
      <scheme val="minor"/>
    </font>
    <font>
      <sz val="8"/>
      <name val="Calibri"/>
      <family val="2"/>
      <scheme val="minor"/>
    </font>
    <font>
      <sz val="12"/>
      <name val="Calibri"/>
      <family val="2"/>
      <scheme val="minor"/>
    </font>
    <font>
      <sz val="13"/>
      <color rgb="FFC00000"/>
      <name val="Times New Roman"/>
      <family val="1"/>
      <charset val="204"/>
    </font>
  </fonts>
  <fills count="10">
    <fill>
      <patternFill patternType="none"/>
    </fill>
    <fill>
      <patternFill patternType="gray125"/>
    </fill>
    <fill>
      <patternFill patternType="solid">
        <fgColor rgb="FF92D050"/>
        <bgColor indexed="64"/>
      </patternFill>
    </fill>
    <fill>
      <patternFill patternType="solid">
        <fgColor rgb="FF99FF99"/>
        <bgColor indexed="64"/>
      </patternFill>
    </fill>
    <fill>
      <patternFill patternType="solid">
        <fgColor rgb="FFFFFF00"/>
        <bgColor indexed="64"/>
      </patternFill>
    </fill>
    <fill>
      <patternFill patternType="solid">
        <fgColor rgb="FFFFC000"/>
        <bgColor indexed="64"/>
      </patternFill>
    </fill>
    <fill>
      <patternFill patternType="solid">
        <fgColor theme="0"/>
        <bgColor indexed="64"/>
      </patternFill>
    </fill>
    <fill>
      <patternFill patternType="solid">
        <fgColor rgb="FFFFFF99"/>
        <bgColor indexed="64"/>
      </patternFill>
    </fill>
    <fill>
      <patternFill patternType="solid">
        <fgColor theme="8" tint="0.39997558519241921"/>
        <bgColor indexed="64"/>
      </patternFill>
    </fill>
    <fill>
      <patternFill patternType="solid">
        <fgColor rgb="FFFF0000"/>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hair">
        <color auto="1"/>
      </right>
      <top style="medium">
        <color indexed="64"/>
      </top>
      <bottom style="hair">
        <color auto="1"/>
      </bottom>
      <diagonal/>
    </border>
    <border>
      <left style="hair">
        <color auto="1"/>
      </left>
      <right style="medium">
        <color indexed="64"/>
      </right>
      <top style="medium">
        <color indexed="64"/>
      </top>
      <bottom style="hair">
        <color auto="1"/>
      </bottom>
      <diagonal/>
    </border>
    <border>
      <left style="medium">
        <color indexed="64"/>
      </left>
      <right style="hair">
        <color auto="1"/>
      </right>
      <top style="hair">
        <color auto="1"/>
      </top>
      <bottom style="medium">
        <color indexed="64"/>
      </bottom>
      <diagonal/>
    </border>
    <border>
      <left style="hair">
        <color auto="1"/>
      </left>
      <right style="medium">
        <color indexed="64"/>
      </right>
      <top style="hair">
        <color auto="1"/>
      </top>
      <bottom style="medium">
        <color indexed="64"/>
      </bottom>
      <diagonal/>
    </border>
    <border>
      <left style="medium">
        <color indexed="64"/>
      </left>
      <right style="hair">
        <color auto="1"/>
      </right>
      <top/>
      <bottom style="hair">
        <color auto="1"/>
      </bottom>
      <diagonal/>
    </border>
    <border>
      <left style="hair">
        <color auto="1"/>
      </left>
      <right style="medium">
        <color indexed="64"/>
      </right>
      <top/>
      <bottom style="hair">
        <color auto="1"/>
      </bottom>
      <diagonal/>
    </border>
    <border>
      <left style="medium">
        <color indexed="64"/>
      </left>
      <right style="hair">
        <color auto="1"/>
      </right>
      <top style="hair">
        <color auto="1"/>
      </top>
      <bottom style="hair">
        <color auto="1"/>
      </bottom>
      <diagonal/>
    </border>
    <border>
      <left style="hair">
        <color auto="1"/>
      </left>
      <right style="medium">
        <color indexed="64"/>
      </right>
      <top style="hair">
        <color auto="1"/>
      </top>
      <bottom style="hair">
        <color auto="1"/>
      </bottom>
      <diagonal/>
    </border>
    <border>
      <left style="medium">
        <color indexed="64"/>
      </left>
      <right/>
      <top style="hair">
        <color auto="1"/>
      </top>
      <bottom style="hair">
        <color auto="1"/>
      </bottom>
      <diagonal/>
    </border>
    <border>
      <left style="hair">
        <color auto="1"/>
      </left>
      <right style="hair">
        <color auto="1"/>
      </right>
      <top style="hair">
        <color auto="1"/>
      </top>
      <bottom style="hair">
        <color auto="1"/>
      </bottom>
      <diagonal/>
    </border>
  </borders>
  <cellStyleXfs count="2">
    <xf numFmtId="0" fontId="0" fillId="0" borderId="0"/>
    <xf numFmtId="0" fontId="74" fillId="0" borderId="0"/>
  </cellStyleXfs>
  <cellXfs count="829">
    <xf numFmtId="0" fontId="0" fillId="0" borderId="0" xfId="0"/>
    <xf numFmtId="0" fontId="13" fillId="0" borderId="0" xfId="0" applyFont="1" applyAlignment="1">
      <alignment vertical="center"/>
    </xf>
    <xf numFmtId="0" fontId="18" fillId="0" borderId="0" xfId="0" applyFont="1"/>
    <xf numFmtId="0" fontId="13" fillId="0" borderId="0" xfId="0" applyFont="1" applyAlignment="1">
      <alignment horizontal="center" vertical="center"/>
    </xf>
    <xf numFmtId="0" fontId="13" fillId="0" borderId="0" xfId="0" applyFont="1"/>
    <xf numFmtId="0" fontId="13" fillId="0" borderId="0" xfId="0" applyFont="1" applyAlignment="1">
      <alignment horizontal="left" vertical="center" indent="15"/>
    </xf>
    <xf numFmtId="0" fontId="13" fillId="0" borderId="1" xfId="0" applyFont="1" applyBorder="1" applyAlignment="1">
      <alignment wrapText="1"/>
    </xf>
    <xf numFmtId="0" fontId="13" fillId="0" borderId="1" xfId="0" applyFont="1" applyBorder="1" applyAlignment="1">
      <alignment horizontal="center" vertical="center"/>
    </xf>
    <xf numFmtId="0" fontId="13" fillId="0" borderId="0" xfId="0" applyFont="1" applyAlignment="1">
      <alignment horizontal="center"/>
    </xf>
    <xf numFmtId="0" fontId="19" fillId="0" borderId="0" xfId="0" applyFont="1"/>
    <xf numFmtId="0" fontId="13" fillId="0" borderId="16" xfId="0" applyFont="1" applyBorder="1" applyAlignment="1">
      <alignment horizontal="center" vertical="center" wrapText="1"/>
    </xf>
    <xf numFmtId="3" fontId="13" fillId="0" borderId="27" xfId="0" applyNumberFormat="1" applyFont="1" applyBorder="1" applyAlignment="1">
      <alignment horizontal="center" vertical="center"/>
    </xf>
    <xf numFmtId="0" fontId="13" fillId="0" borderId="27" xfId="0" applyFont="1" applyBorder="1" applyAlignment="1">
      <alignment horizontal="center" vertical="center"/>
    </xf>
    <xf numFmtId="0" fontId="13" fillId="0" borderId="32" xfId="0" applyFont="1" applyBorder="1" applyAlignment="1">
      <alignment horizontal="center" vertical="center" wrapText="1"/>
    </xf>
    <xf numFmtId="0" fontId="13" fillId="0" borderId="22" xfId="0" applyFont="1" applyBorder="1" applyAlignment="1">
      <alignment wrapText="1"/>
    </xf>
    <xf numFmtId="0" fontId="13" fillId="0" borderId="22" xfId="0" applyFont="1" applyBorder="1" applyAlignment="1">
      <alignment horizontal="center" vertical="center"/>
    </xf>
    <xf numFmtId="0" fontId="13" fillId="0" borderId="23" xfId="0" applyFont="1" applyBorder="1" applyAlignment="1">
      <alignment horizontal="center" vertical="center"/>
    </xf>
    <xf numFmtId="0" fontId="0" fillId="0" borderId="0" xfId="0" applyAlignment="1">
      <alignment vertical="center"/>
    </xf>
    <xf numFmtId="0" fontId="13" fillId="0" borderId="1" xfId="0" applyFont="1" applyBorder="1" applyAlignment="1">
      <alignment vertical="center" wrapText="1"/>
    </xf>
    <xf numFmtId="0" fontId="28" fillId="0" borderId="1" xfId="0" applyFont="1" applyBorder="1" applyAlignment="1">
      <alignment horizontal="center" vertical="center"/>
    </xf>
    <xf numFmtId="10" fontId="28" fillId="2" borderId="27" xfId="0" applyNumberFormat="1" applyFont="1" applyFill="1" applyBorder="1" applyAlignment="1">
      <alignment horizontal="center" vertical="center"/>
    </xf>
    <xf numFmtId="0" fontId="18" fillId="0" borderId="1" xfId="0" applyFont="1" applyBorder="1" applyAlignment="1">
      <alignment horizontal="center" vertical="center"/>
    </xf>
    <xf numFmtId="164" fontId="13" fillId="0" borderId="1" xfId="0" applyNumberFormat="1" applyFont="1" applyBorder="1" applyAlignment="1">
      <alignment vertical="center"/>
    </xf>
    <xf numFmtId="166" fontId="13" fillId="0" borderId="1" xfId="0" applyNumberFormat="1" applyFont="1" applyBorder="1" applyAlignment="1">
      <alignment vertical="center"/>
    </xf>
    <xf numFmtId="0" fontId="13" fillId="0" borderId="1" xfId="0" applyFont="1" applyBorder="1" applyAlignment="1">
      <alignment vertical="center"/>
    </xf>
    <xf numFmtId="166" fontId="13" fillId="0" borderId="0" xfId="0" applyNumberFormat="1" applyFont="1" applyAlignment="1">
      <alignment vertical="center"/>
    </xf>
    <xf numFmtId="0" fontId="14" fillId="0" borderId="1" xfId="0" applyFont="1" applyBorder="1" applyAlignment="1">
      <alignment horizontal="center" vertical="center"/>
    </xf>
    <xf numFmtId="0" fontId="41" fillId="0" borderId="1" xfId="0" applyFont="1" applyBorder="1" applyAlignment="1">
      <alignment vertical="center" wrapText="1"/>
    </xf>
    <xf numFmtId="166" fontId="41" fillId="0" borderId="1" xfId="0" applyNumberFormat="1" applyFont="1" applyBorder="1" applyAlignment="1">
      <alignment vertical="center"/>
    </xf>
    <xf numFmtId="166" fontId="41" fillId="0" borderId="0" xfId="0" applyNumberFormat="1" applyFont="1" applyAlignment="1">
      <alignment vertical="center"/>
    </xf>
    <xf numFmtId="0" fontId="41" fillId="0" borderId="0" xfId="0" applyFont="1" applyAlignment="1">
      <alignment vertical="center"/>
    </xf>
    <xf numFmtId="0" fontId="14" fillId="0" borderId="46" xfId="0" applyFont="1" applyBorder="1" applyAlignment="1">
      <alignment vertical="center" wrapText="1"/>
    </xf>
    <xf numFmtId="0" fontId="13" fillId="0" borderId="8" xfId="0" applyFont="1" applyBorder="1" applyAlignment="1">
      <alignment vertical="center" wrapText="1"/>
    </xf>
    <xf numFmtId="0" fontId="13" fillId="0" borderId="9" xfId="0" applyFont="1" applyBorder="1" applyAlignment="1">
      <alignment vertical="center" wrapText="1"/>
    </xf>
    <xf numFmtId="164" fontId="13" fillId="0" borderId="0" xfId="0" applyNumberFormat="1" applyFont="1" applyAlignment="1">
      <alignment vertical="center"/>
    </xf>
    <xf numFmtId="166" fontId="13" fillId="0" borderId="5" xfId="0" applyNumberFormat="1" applyFont="1" applyBorder="1" applyAlignment="1">
      <alignment vertical="center"/>
    </xf>
    <xf numFmtId="0" fontId="27" fillId="0" borderId="0" xfId="0" applyFont="1" applyAlignment="1">
      <alignment vertical="center" wrapText="1"/>
    </xf>
    <xf numFmtId="0" fontId="0" fillId="0" borderId="0" xfId="0" applyAlignment="1">
      <alignment vertical="center" wrapText="1"/>
    </xf>
    <xf numFmtId="0" fontId="14" fillId="0" borderId="1" xfId="0" applyFont="1" applyBorder="1" applyAlignment="1">
      <alignment horizontal="center" vertical="center" wrapText="1"/>
    </xf>
    <xf numFmtId="166" fontId="13" fillId="0" borderId="2" xfId="0" applyNumberFormat="1" applyFont="1" applyBorder="1" applyAlignment="1">
      <alignment vertical="center"/>
    </xf>
    <xf numFmtId="0" fontId="20" fillId="0" borderId="44" xfId="0" applyFont="1" applyBorder="1" applyAlignment="1">
      <alignment vertical="center" wrapText="1"/>
    </xf>
    <xf numFmtId="0" fontId="13" fillId="0" borderId="2" xfId="0" applyFont="1" applyBorder="1" applyAlignment="1">
      <alignment vertical="center" wrapText="1"/>
    </xf>
    <xf numFmtId="0" fontId="20" fillId="0" borderId="4" xfId="0" applyFont="1" applyBorder="1" applyAlignment="1">
      <alignment vertical="center" wrapText="1"/>
    </xf>
    <xf numFmtId="166" fontId="13" fillId="0" borderId="13" xfId="0" applyNumberFormat="1" applyFont="1" applyBorder="1" applyAlignment="1">
      <alignment vertical="center"/>
    </xf>
    <xf numFmtId="0" fontId="13" fillId="0" borderId="45" xfId="0" applyFont="1" applyBorder="1" applyAlignment="1">
      <alignment vertical="center" wrapText="1"/>
    </xf>
    <xf numFmtId="164" fontId="13" fillId="0" borderId="3" xfId="0" applyNumberFormat="1" applyFont="1" applyBorder="1" applyAlignment="1">
      <alignment vertical="center"/>
    </xf>
    <xf numFmtId="0" fontId="44" fillId="0" borderId="0" xfId="0" applyFont="1"/>
    <xf numFmtId="0" fontId="45" fillId="0" borderId="0" xfId="0" applyFont="1"/>
    <xf numFmtId="0" fontId="41" fillId="0" borderId="0" xfId="0" applyFont="1" applyAlignment="1">
      <alignment horizontal="center" vertical="center"/>
    </xf>
    <xf numFmtId="4" fontId="13" fillId="0" borderId="0" xfId="0" applyNumberFormat="1" applyFont="1" applyAlignment="1">
      <alignment horizontal="center" vertical="center"/>
    </xf>
    <xf numFmtId="0" fontId="13" fillId="0" borderId="0" xfId="0" applyFont="1" applyAlignment="1">
      <alignment horizontal="left" vertical="center"/>
    </xf>
    <xf numFmtId="0" fontId="13" fillId="4" borderId="0" xfId="0" applyFont="1" applyFill="1" applyAlignment="1">
      <alignment vertical="center"/>
    </xf>
    <xf numFmtId="0" fontId="13" fillId="4" borderId="45" xfId="0" applyFont="1" applyFill="1" applyBorder="1" applyAlignment="1">
      <alignment vertical="center" wrapText="1"/>
    </xf>
    <xf numFmtId="0" fontId="13" fillId="4" borderId="0" xfId="0" applyFont="1" applyFill="1" applyAlignment="1">
      <alignment horizontal="center" vertical="center"/>
    </xf>
    <xf numFmtId="0" fontId="13" fillId="5" borderId="0" xfId="0" applyFont="1" applyFill="1" applyAlignment="1">
      <alignment vertical="center"/>
    </xf>
    <xf numFmtId="164" fontId="41" fillId="0" borderId="1" xfId="0" applyNumberFormat="1" applyFont="1" applyBorder="1" applyAlignment="1">
      <alignment vertical="center"/>
    </xf>
    <xf numFmtId="164" fontId="13" fillId="5" borderId="0" xfId="0" applyNumberFormat="1" applyFont="1" applyFill="1" applyAlignment="1">
      <alignment vertical="center"/>
    </xf>
    <xf numFmtId="164" fontId="18" fillId="0" borderId="1" xfId="0" applyNumberFormat="1" applyFont="1" applyBorder="1" applyAlignment="1">
      <alignment horizontal="center" vertical="center"/>
    </xf>
    <xf numFmtId="3" fontId="13" fillId="0" borderId="0" xfId="0" applyNumberFormat="1" applyFont="1" applyAlignment="1">
      <alignment horizontal="center" vertical="center"/>
    </xf>
    <xf numFmtId="0" fontId="0" fillId="0" borderId="0" xfId="0" applyAlignment="1">
      <alignment horizontal="center" vertical="center" wrapText="1"/>
    </xf>
    <xf numFmtId="0" fontId="0" fillId="0" borderId="1" xfId="0" applyBorder="1" applyAlignment="1">
      <alignment horizontal="center" vertical="center" wrapText="1"/>
    </xf>
    <xf numFmtId="4" fontId="0" fillId="0" borderId="1" xfId="0" applyNumberFormat="1" applyBorder="1" applyAlignment="1">
      <alignment horizontal="center" vertical="center" wrapText="1"/>
    </xf>
    <xf numFmtId="0" fontId="0" fillId="0" borderId="1" xfId="0" applyBorder="1" applyAlignment="1">
      <alignment horizontal="left" vertical="center" wrapText="1"/>
    </xf>
    <xf numFmtId="172" fontId="0" fillId="0" borderId="1" xfId="0" applyNumberFormat="1" applyBorder="1" applyAlignment="1">
      <alignment horizontal="center" vertical="center" wrapText="1"/>
    </xf>
    <xf numFmtId="3" fontId="18" fillId="0" borderId="1" xfId="0" applyNumberFormat="1" applyFont="1" applyBorder="1" applyAlignment="1">
      <alignment horizontal="center" vertical="center"/>
    </xf>
    <xf numFmtId="4" fontId="0" fillId="0" borderId="0" xfId="0" applyNumberFormat="1" applyAlignment="1">
      <alignment horizontal="center" vertical="center" wrapText="1"/>
    </xf>
    <xf numFmtId="166" fontId="0" fillId="0" borderId="0" xfId="0" applyNumberFormat="1" applyAlignment="1">
      <alignment horizontal="center" vertical="center" wrapText="1"/>
    </xf>
    <xf numFmtId="10" fontId="0" fillId="0" borderId="0" xfId="0" applyNumberFormat="1" applyAlignment="1">
      <alignment horizontal="center" vertical="center" wrapText="1"/>
    </xf>
    <xf numFmtId="173" fontId="0" fillId="0" borderId="0" xfId="0" applyNumberFormat="1" applyAlignment="1">
      <alignment horizontal="center" vertical="center" wrapText="1"/>
    </xf>
    <xf numFmtId="0" fontId="17" fillId="0" borderId="1" xfId="0" applyFont="1" applyBorder="1" applyAlignment="1">
      <alignment horizontal="center" vertical="center" wrapText="1"/>
    </xf>
    <xf numFmtId="0" fontId="17" fillId="0" borderId="1" xfId="0" applyFont="1" applyBorder="1" applyAlignment="1">
      <alignment vertical="center" wrapText="1"/>
    </xf>
    <xf numFmtId="4" fontId="17" fillId="0" borderId="1" xfId="0" applyNumberFormat="1" applyFont="1" applyBorder="1" applyAlignment="1">
      <alignment horizontal="center" vertical="center" wrapText="1"/>
    </xf>
    <xf numFmtId="10" fontId="17" fillId="0" borderId="1" xfId="0" applyNumberFormat="1" applyFont="1" applyBorder="1" applyAlignment="1">
      <alignment horizontal="center" vertical="center" wrapText="1"/>
    </xf>
    <xf numFmtId="172" fontId="17" fillId="0" borderId="1" xfId="0" applyNumberFormat="1" applyFont="1" applyBorder="1" applyAlignment="1">
      <alignment horizontal="center" vertical="center" wrapText="1"/>
    </xf>
    <xf numFmtId="0" fontId="30" fillId="0" borderId="0" xfId="0" applyFont="1" applyAlignment="1">
      <alignment horizontal="left" vertical="center"/>
    </xf>
    <xf numFmtId="0" fontId="0" fillId="3" borderId="0" xfId="0" applyFill="1" applyAlignment="1">
      <alignment horizontal="center" vertical="center" wrapText="1"/>
    </xf>
    <xf numFmtId="0" fontId="0" fillId="3" borderId="1" xfId="0" applyFill="1" applyBorder="1" applyAlignment="1">
      <alignment horizontal="center" vertical="center" wrapText="1"/>
    </xf>
    <xf numFmtId="4" fontId="0" fillId="3" borderId="1" xfId="0" applyNumberFormat="1" applyFill="1" applyBorder="1" applyAlignment="1">
      <alignment horizontal="center" vertical="center" wrapText="1"/>
    </xf>
    <xf numFmtId="166" fontId="0" fillId="3" borderId="0" xfId="0" applyNumberFormat="1" applyFill="1" applyAlignment="1">
      <alignment horizontal="center" vertical="center" wrapText="1"/>
    </xf>
    <xf numFmtId="0" fontId="17" fillId="3" borderId="1" xfId="0" applyFont="1" applyFill="1" applyBorder="1" applyAlignment="1">
      <alignment horizontal="center" vertical="center" wrapText="1"/>
    </xf>
    <xf numFmtId="4" fontId="17" fillId="3" borderId="1" xfId="0" applyNumberFormat="1" applyFont="1" applyFill="1" applyBorder="1" applyAlignment="1">
      <alignment horizontal="center" vertical="center" wrapText="1"/>
    </xf>
    <xf numFmtId="166" fontId="0" fillId="0" borderId="0" xfId="0" applyNumberFormat="1" applyAlignment="1">
      <alignment vertical="center"/>
    </xf>
    <xf numFmtId="166" fontId="0" fillId="0" borderId="0" xfId="0" applyNumberFormat="1" applyAlignment="1">
      <alignment vertical="center" wrapText="1"/>
    </xf>
    <xf numFmtId="1" fontId="0" fillId="0" borderId="0" xfId="0" applyNumberFormat="1" applyAlignment="1">
      <alignment horizontal="center" vertical="center"/>
    </xf>
    <xf numFmtId="4" fontId="0" fillId="0" borderId="0" xfId="0" applyNumberFormat="1" applyAlignment="1">
      <alignment vertical="center" wrapText="1"/>
    </xf>
    <xf numFmtId="0" fontId="0" fillId="0" borderId="0" xfId="0" applyAlignment="1">
      <alignment horizontal="center" vertical="center"/>
    </xf>
    <xf numFmtId="4" fontId="0" fillId="0" borderId="0" xfId="0" applyNumberFormat="1" applyAlignment="1">
      <alignment vertical="center"/>
    </xf>
    <xf numFmtId="0" fontId="30" fillId="0" borderId="0" xfId="0" applyFont="1" applyAlignment="1">
      <alignment horizontal="center" vertical="center"/>
    </xf>
    <xf numFmtId="2" fontId="30" fillId="0" borderId="54" xfId="0" applyNumberFormat="1" applyFont="1" applyBorder="1" applyAlignment="1">
      <alignment horizontal="center" vertical="center"/>
    </xf>
    <xf numFmtId="2" fontId="30" fillId="0" borderId="55" xfId="0" applyNumberFormat="1" applyFont="1" applyBorder="1" applyAlignment="1">
      <alignment horizontal="center" vertical="center"/>
    </xf>
    <xf numFmtId="2" fontId="30" fillId="0" borderId="57" xfId="0" applyNumberFormat="1" applyFont="1" applyBorder="1" applyAlignment="1">
      <alignment horizontal="center" vertical="center"/>
    </xf>
    <xf numFmtId="2" fontId="30" fillId="0" borderId="53" xfId="0" applyNumberFormat="1" applyFont="1" applyBorder="1" applyAlignment="1">
      <alignment horizontal="center" vertical="center"/>
    </xf>
    <xf numFmtId="4" fontId="0" fillId="0" borderId="56" xfId="0" applyNumberFormat="1" applyBorder="1" applyAlignment="1">
      <alignment vertical="center"/>
    </xf>
    <xf numFmtId="4" fontId="0" fillId="0" borderId="58" xfId="0" applyNumberFormat="1" applyBorder="1" applyAlignment="1">
      <alignment vertical="center"/>
    </xf>
    <xf numFmtId="4" fontId="0" fillId="0" borderId="54" xfId="0" applyNumberFormat="1" applyBorder="1" applyAlignment="1">
      <alignment vertical="center"/>
    </xf>
    <xf numFmtId="2" fontId="30" fillId="0" borderId="53" xfId="0" applyNumberFormat="1" applyFont="1" applyBorder="1" applyAlignment="1">
      <alignment horizontal="center" vertical="center" wrapText="1"/>
    </xf>
    <xf numFmtId="4" fontId="0" fillId="0" borderId="55" xfId="0" applyNumberFormat="1" applyBorder="1" applyAlignment="1">
      <alignment vertical="center"/>
    </xf>
    <xf numFmtId="4" fontId="0" fillId="0" borderId="57" xfId="0" applyNumberFormat="1" applyBorder="1" applyAlignment="1">
      <alignment vertical="center"/>
    </xf>
    <xf numFmtId="4" fontId="0" fillId="0" borderId="53" xfId="0" applyNumberFormat="1" applyBorder="1" applyAlignment="1">
      <alignment vertical="center"/>
    </xf>
    <xf numFmtId="2" fontId="30" fillId="0" borderId="56" xfId="0" applyNumberFormat="1" applyFont="1" applyBorder="1" applyAlignment="1">
      <alignment vertical="center" wrapText="1"/>
    </xf>
    <xf numFmtId="2" fontId="0" fillId="0" borderId="58" xfId="0" applyNumberFormat="1" applyBorder="1" applyAlignment="1">
      <alignment vertical="center" wrapText="1"/>
    </xf>
    <xf numFmtId="2" fontId="0" fillId="0" borderId="54" xfId="0" applyNumberFormat="1" applyBorder="1" applyAlignment="1">
      <alignment vertical="center" wrapText="1"/>
    </xf>
    <xf numFmtId="2" fontId="30" fillId="0" borderId="58" xfId="0" applyNumberFormat="1" applyFont="1" applyBorder="1" applyAlignment="1">
      <alignment vertical="center" wrapText="1"/>
    </xf>
    <xf numFmtId="2" fontId="30" fillId="0" borderId="54" xfId="0" applyNumberFormat="1" applyFont="1" applyBorder="1" applyAlignment="1">
      <alignment vertical="center" wrapText="1"/>
    </xf>
    <xf numFmtId="2" fontId="58" fillId="0" borderId="54" xfId="0" applyNumberFormat="1" applyFont="1" applyBorder="1" applyAlignment="1">
      <alignment horizontal="center" vertical="center"/>
    </xf>
    <xf numFmtId="4" fontId="30" fillId="0" borderId="55" xfId="0" applyNumberFormat="1" applyFont="1" applyBorder="1" applyAlignment="1">
      <alignment vertical="center" wrapText="1"/>
    </xf>
    <xf numFmtId="4" fontId="30" fillId="0" borderId="56" xfId="0" applyNumberFormat="1" applyFont="1" applyBorder="1" applyAlignment="1">
      <alignment vertical="center"/>
    </xf>
    <xf numFmtId="4" fontId="0" fillId="0" borderId="57" xfId="0" applyNumberFormat="1" applyBorder="1" applyAlignment="1">
      <alignment vertical="center" wrapText="1"/>
    </xf>
    <xf numFmtId="4" fontId="0" fillId="0" borderId="53" xfId="0" applyNumberFormat="1" applyBorder="1" applyAlignment="1">
      <alignment vertical="center" wrapText="1"/>
    </xf>
    <xf numFmtId="4" fontId="0" fillId="0" borderId="55" xfId="0" applyNumberFormat="1" applyBorder="1" applyAlignment="1">
      <alignment vertical="center" wrapText="1"/>
    </xf>
    <xf numFmtId="4" fontId="43" fillId="0" borderId="57" xfId="0" applyNumberFormat="1" applyFont="1" applyBorder="1" applyAlignment="1">
      <alignment vertical="center" wrapText="1"/>
    </xf>
    <xf numFmtId="4" fontId="43" fillId="0" borderId="53" xfId="0" applyNumberFormat="1" applyFont="1" applyBorder="1" applyAlignment="1">
      <alignment vertical="center" wrapText="1"/>
    </xf>
    <xf numFmtId="4" fontId="0" fillId="0" borderId="59" xfId="0" applyNumberFormat="1" applyBorder="1" applyAlignment="1">
      <alignment vertical="center"/>
    </xf>
    <xf numFmtId="4" fontId="0" fillId="0" borderId="59" xfId="0" applyNumberFormat="1" applyBorder="1" applyAlignment="1">
      <alignment vertical="center" wrapText="1"/>
    </xf>
    <xf numFmtId="4" fontId="43" fillId="0" borderId="59" xfId="0" applyNumberFormat="1" applyFont="1" applyBorder="1" applyAlignment="1">
      <alignment vertical="center" wrapText="1"/>
    </xf>
    <xf numFmtId="4" fontId="43" fillId="0" borderId="58" xfId="0" applyNumberFormat="1" applyFont="1" applyBorder="1" applyAlignment="1">
      <alignment vertical="center" wrapText="1"/>
    </xf>
    <xf numFmtId="0" fontId="13" fillId="0" borderId="0" xfId="0" applyFont="1" applyAlignment="1">
      <alignment wrapText="1"/>
    </xf>
    <xf numFmtId="166" fontId="13" fillId="0" borderId="0" xfId="0" applyNumberFormat="1" applyFont="1"/>
    <xf numFmtId="0" fontId="14" fillId="0" borderId="60" xfId="0" applyFont="1" applyBorder="1" applyAlignment="1">
      <alignment wrapText="1"/>
    </xf>
    <xf numFmtId="166" fontId="13" fillId="0" borderId="60" xfId="0" applyNumberFormat="1" applyFont="1" applyBorder="1"/>
    <xf numFmtId="0" fontId="13" fillId="0" borderId="60" xfId="0" applyFont="1" applyBorder="1"/>
    <xf numFmtId="0" fontId="13" fillId="0" borderId="60" xfId="0" applyFont="1" applyBorder="1" applyAlignment="1">
      <alignment wrapText="1"/>
    </xf>
    <xf numFmtId="0" fontId="27" fillId="0" borderId="1" xfId="0" applyFont="1" applyBorder="1" applyAlignment="1">
      <alignment horizontal="center" vertical="center" wrapText="1"/>
    </xf>
    <xf numFmtId="0" fontId="14" fillId="0" borderId="0" xfId="0" applyFont="1"/>
    <xf numFmtId="0" fontId="13" fillId="0" borderId="0" xfId="0" applyFont="1" applyAlignment="1">
      <alignment vertical="center" wrapText="1"/>
    </xf>
    <xf numFmtId="0" fontId="13" fillId="0" borderId="0" xfId="0" applyFont="1" applyAlignment="1">
      <alignment horizontal="right" vertical="center" wrapText="1"/>
    </xf>
    <xf numFmtId="0" fontId="13" fillId="0" borderId="1" xfId="0" applyFont="1" applyBorder="1" applyAlignment="1">
      <alignment horizontal="center" vertical="center" wrapText="1"/>
    </xf>
    <xf numFmtId="0" fontId="44" fillId="0" borderId="0" xfId="0" applyFont="1" applyAlignment="1">
      <alignment horizontal="center" vertical="center"/>
    </xf>
    <xf numFmtId="0" fontId="36" fillId="0" borderId="0" xfId="0" applyFont="1" applyAlignment="1">
      <alignment vertical="center"/>
    </xf>
    <xf numFmtId="0" fontId="18" fillId="0" borderId="0" xfId="0" applyFont="1" applyAlignment="1">
      <alignment horizontal="left"/>
    </xf>
    <xf numFmtId="164" fontId="13" fillId="0" borderId="0" xfId="0" applyNumberFormat="1" applyFont="1" applyAlignment="1">
      <alignment horizontal="center" vertical="center"/>
    </xf>
    <xf numFmtId="0" fontId="14" fillId="0" borderId="0" xfId="0" applyFont="1" applyAlignment="1">
      <alignment horizontal="center" vertical="center"/>
    </xf>
    <xf numFmtId="0" fontId="18" fillId="0" borderId="1" xfId="0" applyFont="1" applyBorder="1" applyAlignment="1">
      <alignment horizontal="center" vertical="center" wrapText="1"/>
    </xf>
    <xf numFmtId="0" fontId="18" fillId="0" borderId="1" xfId="0" applyFont="1" applyBorder="1" applyAlignment="1">
      <alignment wrapText="1"/>
    </xf>
    <xf numFmtId="166" fontId="13" fillId="0" borderId="0" xfId="0" applyNumberFormat="1" applyFont="1" applyAlignment="1">
      <alignment horizontal="center" vertical="center"/>
    </xf>
    <xf numFmtId="170" fontId="13" fillId="0" borderId="0" xfId="0" applyNumberFormat="1" applyFont="1" applyAlignment="1">
      <alignment horizontal="center" vertical="center"/>
    </xf>
    <xf numFmtId="10" fontId="28" fillId="0" borderId="0" xfId="0" applyNumberFormat="1" applyFont="1" applyAlignment="1">
      <alignment horizontal="center" vertical="center"/>
    </xf>
    <xf numFmtId="170" fontId="13" fillId="0" borderId="0" xfId="0" applyNumberFormat="1" applyFont="1"/>
    <xf numFmtId="0" fontId="21" fillId="0" borderId="0" xfId="0" applyFont="1"/>
    <xf numFmtId="0" fontId="13" fillId="0" borderId="0" xfId="0" applyFont="1" applyAlignment="1">
      <alignment horizontal="right"/>
    </xf>
    <xf numFmtId="10" fontId="14" fillId="0" borderId="0" xfId="0" applyNumberFormat="1" applyFont="1"/>
    <xf numFmtId="10" fontId="13" fillId="0" borderId="0" xfId="0" applyNumberFormat="1" applyFont="1"/>
    <xf numFmtId="4" fontId="30" fillId="0" borderId="0" xfId="0" applyNumberFormat="1" applyFont="1" applyAlignment="1">
      <alignment vertical="center"/>
    </xf>
    <xf numFmtId="166" fontId="0" fillId="0" borderId="1" xfId="0" applyNumberFormat="1" applyBorder="1" applyAlignment="1">
      <alignment vertical="center" wrapText="1"/>
    </xf>
    <xf numFmtId="166" fontId="0" fillId="0" borderId="1" xfId="0" applyNumberFormat="1" applyBorder="1" applyAlignment="1">
      <alignment vertical="center"/>
    </xf>
    <xf numFmtId="1" fontId="0" fillId="0" borderId="1" xfId="0" applyNumberFormat="1" applyBorder="1" applyAlignment="1">
      <alignment horizontal="center" vertical="center"/>
    </xf>
    <xf numFmtId="4" fontId="0" fillId="0" borderId="1" xfId="0" applyNumberFormat="1" applyBorder="1" applyAlignment="1">
      <alignment vertical="center"/>
    </xf>
    <xf numFmtId="170" fontId="0" fillId="0" borderId="1" xfId="0" applyNumberFormat="1" applyBorder="1" applyAlignment="1">
      <alignment vertical="center"/>
    </xf>
    <xf numFmtId="170" fontId="0" fillId="0" borderId="0" xfId="0" applyNumberFormat="1" applyAlignment="1">
      <alignment vertical="center"/>
    </xf>
    <xf numFmtId="170" fontId="0" fillId="0" borderId="1" xfId="0" applyNumberFormat="1" applyBorder="1" applyAlignment="1">
      <alignment horizontal="center" vertical="center"/>
    </xf>
    <xf numFmtId="166" fontId="0" fillId="0" borderId="0" xfId="0" applyNumberFormat="1" applyAlignment="1">
      <alignment horizontal="right" vertical="center" wrapText="1"/>
    </xf>
    <xf numFmtId="170" fontId="30" fillId="0" borderId="1" xfId="0" applyNumberFormat="1" applyFont="1" applyBorder="1" applyAlignment="1">
      <alignment horizontal="center" vertical="center" wrapText="1"/>
    </xf>
    <xf numFmtId="166" fontId="30" fillId="0" borderId="1" xfId="0" applyNumberFormat="1" applyFont="1" applyBorder="1" applyAlignment="1">
      <alignment horizontal="center" vertical="center" wrapText="1"/>
    </xf>
    <xf numFmtId="4" fontId="6" fillId="0" borderId="1" xfId="0" applyNumberFormat="1" applyFont="1" applyBorder="1" applyAlignment="1">
      <alignment horizontal="right" vertical="center" wrapText="1"/>
    </xf>
    <xf numFmtId="166" fontId="0" fillId="4" borderId="1" xfId="0" applyNumberFormat="1" applyFill="1" applyBorder="1" applyAlignment="1">
      <alignment vertical="center"/>
    </xf>
    <xf numFmtId="4" fontId="43" fillId="0" borderId="1" xfId="0" applyNumberFormat="1" applyFont="1" applyBorder="1" applyAlignment="1">
      <alignment vertical="center"/>
    </xf>
    <xf numFmtId="1" fontId="43" fillId="0" borderId="1" xfId="0" applyNumberFormat="1" applyFont="1" applyBorder="1" applyAlignment="1">
      <alignment horizontal="center" vertical="center"/>
    </xf>
    <xf numFmtId="166" fontId="43" fillId="0" borderId="1" xfId="0" applyNumberFormat="1" applyFont="1" applyBorder="1" applyAlignment="1">
      <alignment vertical="center" wrapText="1"/>
    </xf>
    <xf numFmtId="170" fontId="43" fillId="0" borderId="1" xfId="0" applyNumberFormat="1" applyFont="1" applyBorder="1" applyAlignment="1">
      <alignment horizontal="center" vertical="center"/>
    </xf>
    <xf numFmtId="166" fontId="43" fillId="0" borderId="1" xfId="0" applyNumberFormat="1" applyFont="1" applyBorder="1" applyAlignment="1">
      <alignment vertical="center"/>
    </xf>
    <xf numFmtId="166" fontId="43" fillId="0" borderId="0" xfId="0" applyNumberFormat="1" applyFont="1" applyAlignment="1">
      <alignment vertical="center"/>
    </xf>
    <xf numFmtId="4" fontId="5" fillId="3" borderId="1" xfId="0" applyNumberFormat="1" applyFont="1" applyFill="1" applyBorder="1" applyAlignment="1">
      <alignment horizontal="center" vertical="center" wrapText="1"/>
    </xf>
    <xf numFmtId="4" fontId="0" fillId="3" borderId="1" xfId="0" applyNumberFormat="1" applyFill="1" applyBorder="1" applyAlignment="1">
      <alignment vertical="center"/>
    </xf>
    <xf numFmtId="170" fontId="43" fillId="0" borderId="1" xfId="0" applyNumberFormat="1" applyFont="1" applyBorder="1" applyAlignment="1">
      <alignment vertical="center"/>
    </xf>
    <xf numFmtId="166" fontId="43" fillId="4" borderId="1" xfId="0" applyNumberFormat="1" applyFont="1" applyFill="1" applyBorder="1" applyAlignment="1">
      <alignment vertical="center"/>
    </xf>
    <xf numFmtId="4" fontId="43" fillId="3" borderId="1" xfId="0" applyNumberFormat="1" applyFont="1" applyFill="1" applyBorder="1" applyAlignment="1">
      <alignment vertical="center"/>
    </xf>
    <xf numFmtId="0" fontId="13" fillId="0" borderId="0" xfId="0" applyFont="1" applyAlignment="1">
      <alignment horizontal="center" vertical="center" wrapText="1"/>
    </xf>
    <xf numFmtId="170" fontId="13" fillId="0" borderId="1" xfId="0" applyNumberFormat="1" applyFont="1" applyBorder="1" applyAlignment="1">
      <alignment horizontal="center" vertical="center" wrapText="1"/>
    </xf>
    <xf numFmtId="0" fontId="18" fillId="0" borderId="0" xfId="0" applyFont="1" applyAlignment="1">
      <alignment horizontal="center" vertical="center" wrapText="1"/>
    </xf>
    <xf numFmtId="0" fontId="13" fillId="6" borderId="1" xfId="0" applyFont="1" applyFill="1" applyBorder="1" applyAlignment="1">
      <alignment vertical="center" wrapText="1"/>
    </xf>
    <xf numFmtId="0" fontId="0" fillId="6" borderId="0" xfId="0" applyFill="1" applyAlignment="1">
      <alignment vertical="center"/>
    </xf>
    <xf numFmtId="0" fontId="0" fillId="6" borderId="16" xfId="0" applyFill="1" applyBorder="1" applyAlignment="1">
      <alignment horizontal="center" vertical="center"/>
    </xf>
    <xf numFmtId="164" fontId="13" fillId="6" borderId="1" xfId="0" applyNumberFormat="1" applyFont="1" applyFill="1" applyBorder="1" applyAlignment="1">
      <alignment vertical="center"/>
    </xf>
    <xf numFmtId="3" fontId="28" fillId="0" borderId="0" xfId="0" applyNumberFormat="1" applyFont="1" applyAlignment="1">
      <alignment horizontal="center" vertical="center"/>
    </xf>
    <xf numFmtId="0" fontId="30" fillId="0" borderId="0" xfId="0" applyFont="1" applyAlignment="1">
      <alignment vertical="center"/>
    </xf>
    <xf numFmtId="0" fontId="10" fillId="3" borderId="1" xfId="0" applyFont="1" applyFill="1" applyBorder="1" applyAlignment="1">
      <alignment vertical="center" wrapText="1"/>
    </xf>
    <xf numFmtId="0" fontId="0" fillId="3" borderId="0" xfId="0" applyFill="1" applyAlignment="1">
      <alignment vertical="center"/>
    </xf>
    <xf numFmtId="0" fontId="10" fillId="8" borderId="1" xfId="0" applyFont="1" applyFill="1" applyBorder="1" applyAlignment="1">
      <alignment vertical="center" wrapText="1"/>
    </xf>
    <xf numFmtId="0" fontId="10" fillId="2" borderId="1" xfId="0" applyFont="1" applyFill="1" applyBorder="1" applyAlignment="1">
      <alignment vertical="center" wrapText="1"/>
    </xf>
    <xf numFmtId="0" fontId="10" fillId="3" borderId="1" xfId="0" applyFont="1" applyFill="1" applyBorder="1" applyAlignment="1">
      <alignment horizontal="left" vertical="center" wrapText="1"/>
    </xf>
    <xf numFmtId="0" fontId="10" fillId="8" borderId="1" xfId="0" applyFont="1" applyFill="1" applyBorder="1" applyAlignment="1">
      <alignment horizontal="left" vertical="center" wrapText="1"/>
    </xf>
    <xf numFmtId="0" fontId="29" fillId="8" borderId="1" xfId="0" applyFont="1" applyFill="1" applyBorder="1" applyAlignment="1">
      <alignment vertical="center" wrapText="1"/>
    </xf>
    <xf numFmtId="0" fontId="11" fillId="3" borderId="1" xfId="0" applyFont="1" applyFill="1" applyBorder="1" applyAlignment="1">
      <alignment horizontal="center" vertical="center" wrapText="1"/>
    </xf>
    <xf numFmtId="3" fontId="11" fillId="3" borderId="1" xfId="0" applyNumberFormat="1" applyFont="1" applyFill="1" applyBorder="1" applyAlignment="1">
      <alignment horizontal="center" vertical="center" wrapText="1"/>
    </xf>
    <xf numFmtId="4" fontId="11" fillId="3" borderId="1" xfId="0" applyNumberFormat="1" applyFont="1" applyFill="1" applyBorder="1" applyAlignment="1">
      <alignment horizontal="center" vertical="center" wrapText="1"/>
    </xf>
    <xf numFmtId="0" fontId="10" fillId="3" borderId="1" xfId="0" applyFont="1" applyFill="1" applyBorder="1" applyAlignment="1">
      <alignment horizontal="center" vertical="center"/>
    </xf>
    <xf numFmtId="4" fontId="10" fillId="3" borderId="4" xfId="0" applyNumberFormat="1" applyFont="1" applyFill="1" applyBorder="1" applyAlignment="1">
      <alignment vertical="center"/>
    </xf>
    <xf numFmtId="0" fontId="10" fillId="3" borderId="1" xfId="0" applyFont="1" applyFill="1" applyBorder="1" applyAlignment="1">
      <alignment vertical="center"/>
    </xf>
    <xf numFmtId="4" fontId="10" fillId="3" borderId="1" xfId="0" applyNumberFormat="1" applyFont="1" applyFill="1" applyBorder="1" applyAlignment="1">
      <alignment vertical="center"/>
    </xf>
    <xf numFmtId="0" fontId="11" fillId="3" borderId="1" xfId="0" applyFont="1" applyFill="1" applyBorder="1" applyAlignment="1">
      <alignment horizontal="center" vertical="center"/>
    </xf>
    <xf numFmtId="0" fontId="30" fillId="3" borderId="0" xfId="0" applyFont="1" applyFill="1" applyAlignment="1">
      <alignment horizontal="center" vertical="center"/>
    </xf>
    <xf numFmtId="0" fontId="0" fillId="8" borderId="0" xfId="0" applyFill="1" applyAlignment="1">
      <alignment vertical="center"/>
    </xf>
    <xf numFmtId="0" fontId="10" fillId="8" borderId="1" xfId="0" applyFont="1" applyFill="1" applyBorder="1" applyAlignment="1">
      <alignment horizontal="center" vertical="center"/>
    </xf>
    <xf numFmtId="4" fontId="10" fillId="8" borderId="1" xfId="0" applyNumberFormat="1" applyFont="1" applyFill="1" applyBorder="1" applyAlignment="1">
      <alignment vertical="center"/>
    </xf>
    <xf numFmtId="0" fontId="10" fillId="8" borderId="1" xfId="0" applyFont="1" applyFill="1" applyBorder="1" applyAlignment="1">
      <alignment vertical="center"/>
    </xf>
    <xf numFmtId="4" fontId="10" fillId="8" borderId="4" xfId="0" applyNumberFormat="1" applyFont="1" applyFill="1" applyBorder="1" applyAlignment="1">
      <alignment vertical="center"/>
    </xf>
    <xf numFmtId="0" fontId="0" fillId="2" borderId="0" xfId="0" applyFill="1" applyAlignment="1">
      <alignment vertical="center"/>
    </xf>
    <xf numFmtId="0" fontId="10" fillId="2" borderId="1" xfId="0" applyFont="1" applyFill="1" applyBorder="1" applyAlignment="1">
      <alignment horizontal="center" vertical="center"/>
    </xf>
    <xf numFmtId="4" fontId="10" fillId="2" borderId="4" xfId="0" applyNumberFormat="1" applyFont="1" applyFill="1" applyBorder="1" applyAlignment="1">
      <alignment vertical="center"/>
    </xf>
    <xf numFmtId="0" fontId="10" fillId="2" borderId="1" xfId="0" applyFont="1" applyFill="1" applyBorder="1" applyAlignment="1">
      <alignment vertical="center"/>
    </xf>
    <xf numFmtId="4" fontId="10" fillId="2" borderId="1" xfId="0" applyNumberFormat="1" applyFont="1" applyFill="1" applyBorder="1" applyAlignment="1">
      <alignment vertical="center"/>
    </xf>
    <xf numFmtId="0" fontId="11" fillId="8" borderId="1" xfId="0" applyFont="1" applyFill="1" applyBorder="1" applyAlignment="1">
      <alignment horizontal="center" vertical="center"/>
    </xf>
    <xf numFmtId="0" fontId="11" fillId="2" borderId="1" xfId="0" applyFont="1" applyFill="1" applyBorder="1" applyAlignment="1">
      <alignment horizontal="center" vertical="center"/>
    </xf>
    <xf numFmtId="0" fontId="11" fillId="2" borderId="1" xfId="0" applyFont="1" applyFill="1" applyBorder="1" applyAlignment="1">
      <alignment vertical="center"/>
    </xf>
    <xf numFmtId="0" fontId="0" fillId="0" borderId="0" xfId="0" applyAlignment="1">
      <alignment horizontal="left" vertical="center"/>
    </xf>
    <xf numFmtId="0" fontId="11" fillId="2" borderId="1" xfId="0" applyFont="1" applyFill="1" applyBorder="1" applyAlignment="1">
      <alignment horizontal="center" vertical="center" wrapText="1"/>
    </xf>
    <xf numFmtId="3" fontId="11" fillId="2" borderId="1" xfId="0" applyNumberFormat="1" applyFont="1" applyFill="1" applyBorder="1" applyAlignment="1">
      <alignment horizontal="center" vertical="center" wrapText="1"/>
    </xf>
    <xf numFmtId="0" fontId="30" fillId="2" borderId="0" xfId="0" applyFont="1" applyFill="1" applyAlignment="1">
      <alignment vertical="center"/>
    </xf>
    <xf numFmtId="0" fontId="11" fillId="8" borderId="1" xfId="0" applyFont="1" applyFill="1" applyBorder="1" applyAlignment="1">
      <alignment horizontal="center" vertical="center" wrapText="1"/>
    </xf>
    <xf numFmtId="3" fontId="11" fillId="8" borderId="1" xfId="0" applyNumberFormat="1" applyFont="1" applyFill="1" applyBorder="1" applyAlignment="1">
      <alignment horizontal="center" vertical="center" wrapText="1"/>
    </xf>
    <xf numFmtId="4" fontId="11" fillId="8" borderId="1" xfId="0" applyNumberFormat="1" applyFont="1" applyFill="1" applyBorder="1" applyAlignment="1">
      <alignment horizontal="center" vertical="center" wrapText="1"/>
    </xf>
    <xf numFmtId="0" fontId="30" fillId="8" borderId="0" xfId="0" applyFont="1" applyFill="1" applyAlignment="1">
      <alignment horizontal="center" vertical="center"/>
    </xf>
    <xf numFmtId="0" fontId="11" fillId="3" borderId="1" xfId="0" applyFont="1" applyFill="1" applyBorder="1" applyAlignment="1">
      <alignment horizontal="left" vertical="center" wrapText="1"/>
    </xf>
    <xf numFmtId="0" fontId="10" fillId="2" borderId="1" xfId="0" applyFont="1" applyFill="1" applyBorder="1" applyAlignment="1">
      <alignment horizontal="left" vertical="center" wrapText="1"/>
    </xf>
    <xf numFmtId="0" fontId="13" fillId="6" borderId="1" xfId="0" applyFont="1" applyFill="1" applyBorder="1" applyAlignment="1">
      <alignment horizontal="left" vertical="center" wrapText="1"/>
    </xf>
    <xf numFmtId="16" fontId="0" fillId="6" borderId="16" xfId="0" applyNumberFormat="1" applyFill="1" applyBorder="1" applyAlignment="1">
      <alignment horizontal="center" vertical="center"/>
    </xf>
    <xf numFmtId="164" fontId="28" fillId="6" borderId="1" xfId="0" applyNumberFormat="1" applyFont="1" applyFill="1" applyBorder="1" applyAlignment="1">
      <alignment vertical="center"/>
    </xf>
    <xf numFmtId="0" fontId="10" fillId="6" borderId="1" xfId="0" applyFont="1" applyFill="1" applyBorder="1" applyAlignment="1">
      <alignment horizontal="left" vertical="center" wrapText="1"/>
    </xf>
    <xf numFmtId="166" fontId="18" fillId="0" borderId="1" xfId="0" applyNumberFormat="1" applyFont="1" applyBorder="1" applyAlignment="1">
      <alignment horizontal="center" vertical="center"/>
    </xf>
    <xf numFmtId="4" fontId="18" fillId="0" borderId="1" xfId="0" applyNumberFormat="1" applyFont="1" applyBorder="1" applyAlignment="1">
      <alignment horizontal="center" vertical="center"/>
    </xf>
    <xf numFmtId="0" fontId="10" fillId="7" borderId="1" xfId="0" applyFont="1" applyFill="1" applyBorder="1" applyAlignment="1">
      <alignment vertical="center" wrapText="1"/>
    </xf>
    <xf numFmtId="0" fontId="10" fillId="7" borderId="1" xfId="0" applyFont="1" applyFill="1" applyBorder="1" applyAlignment="1">
      <alignment horizontal="left" vertical="center" wrapText="1"/>
    </xf>
    <xf numFmtId="4" fontId="10" fillId="4" borderId="1" xfId="0" applyNumberFormat="1" applyFont="1" applyFill="1" applyBorder="1" applyAlignment="1">
      <alignment vertical="center"/>
    </xf>
    <xf numFmtId="0" fontId="18" fillId="0" borderId="0" xfId="0" applyFont="1" applyAlignment="1">
      <alignment horizontal="center" vertical="center"/>
    </xf>
    <xf numFmtId="0" fontId="20" fillId="0" borderId="27" xfId="0" applyFont="1" applyBorder="1" applyAlignment="1">
      <alignment horizontal="center" vertical="center" wrapText="1"/>
    </xf>
    <xf numFmtId="0" fontId="18" fillId="0" borderId="0" xfId="0" applyFont="1" applyAlignment="1">
      <alignment horizontal="right" vertical="center"/>
    </xf>
    <xf numFmtId="0" fontId="44" fillId="0" borderId="0" xfId="0" applyFont="1" applyAlignment="1">
      <alignment horizontal="right"/>
    </xf>
    <xf numFmtId="0" fontId="27" fillId="0" borderId="0" xfId="0" applyFont="1" applyAlignment="1">
      <alignment horizontal="center" vertical="center" wrapText="1"/>
    </xf>
    <xf numFmtId="0" fontId="0" fillId="0" borderId="16" xfId="0" applyBorder="1" applyAlignment="1">
      <alignment horizontal="center" vertical="center"/>
    </xf>
    <xf numFmtId="0" fontId="10" fillId="0" borderId="1" xfId="0" applyFont="1" applyBorder="1" applyAlignment="1">
      <alignment vertical="center" wrapText="1"/>
    </xf>
    <xf numFmtId="164" fontId="13" fillId="0" borderId="1" xfId="0" applyNumberFormat="1" applyFont="1" applyBorder="1" applyAlignment="1">
      <alignment horizontal="right" vertical="center"/>
    </xf>
    <xf numFmtId="164" fontId="13" fillId="0" borderId="27" xfId="0" applyNumberFormat="1" applyFont="1" applyBorder="1" applyAlignment="1">
      <alignment vertical="center"/>
    </xf>
    <xf numFmtId="164" fontId="38" fillId="0" borderId="0" xfId="0" applyNumberFormat="1" applyFont="1" applyAlignment="1">
      <alignment horizontal="center" vertical="center"/>
    </xf>
    <xf numFmtId="0" fontId="2" fillId="0" borderId="0" xfId="0" applyFont="1" applyAlignment="1">
      <alignment vertical="center"/>
    </xf>
    <xf numFmtId="164" fontId="2" fillId="0" borderId="0" xfId="0" applyNumberFormat="1" applyFont="1" applyAlignment="1">
      <alignment vertical="center"/>
    </xf>
    <xf numFmtId="166" fontId="13" fillId="0" borderId="27" xfId="0" applyNumberFormat="1" applyFont="1" applyBorder="1" applyAlignment="1">
      <alignment vertical="center"/>
    </xf>
    <xf numFmtId="164" fontId="36" fillId="0" borderId="0" xfId="0" applyNumberFormat="1" applyFont="1" applyAlignment="1">
      <alignment horizontal="center" vertical="center"/>
    </xf>
    <xf numFmtId="164" fontId="0" fillId="0" borderId="0" xfId="0" applyNumberFormat="1" applyAlignment="1">
      <alignment vertical="center"/>
    </xf>
    <xf numFmtId="164" fontId="42" fillId="0" borderId="0" xfId="0" applyNumberFormat="1" applyFont="1" applyAlignment="1">
      <alignment horizontal="center" vertical="center"/>
    </xf>
    <xf numFmtId="164" fontId="28" fillId="0" borderId="27" xfId="0" applyNumberFormat="1" applyFont="1" applyBorder="1" applyAlignment="1">
      <alignment vertical="center"/>
    </xf>
    <xf numFmtId="14" fontId="35" fillId="0" borderId="16" xfId="0" applyNumberFormat="1" applyFont="1" applyBorder="1" applyAlignment="1">
      <alignment horizontal="center" vertical="center"/>
    </xf>
    <xf numFmtId="0" fontId="32" fillId="0" borderId="1" xfId="0" applyFont="1" applyBorder="1" applyAlignment="1">
      <alignment horizontal="left" vertical="center" wrapText="1"/>
    </xf>
    <xf numFmtId="164" fontId="32" fillId="0" borderId="1" xfId="0" applyNumberFormat="1" applyFont="1" applyBorder="1" applyAlignment="1">
      <alignment horizontal="right" vertical="center" wrapText="1"/>
    </xf>
    <xf numFmtId="164" fontId="32" fillId="0" borderId="1" xfId="0" applyNumberFormat="1" applyFont="1" applyBorder="1" applyAlignment="1">
      <alignment vertical="center"/>
    </xf>
    <xf numFmtId="164" fontId="32" fillId="0" borderId="27" xfId="0" applyNumberFormat="1" applyFont="1" applyBorder="1" applyAlignment="1">
      <alignment vertical="center"/>
    </xf>
    <xf numFmtId="164" fontId="70" fillId="0" borderId="0" xfId="0" applyNumberFormat="1" applyFont="1" applyAlignment="1">
      <alignment horizontal="center" vertical="center"/>
    </xf>
    <xf numFmtId="164" fontId="4" fillId="0" borderId="0" xfId="0" applyNumberFormat="1" applyFont="1" applyAlignment="1">
      <alignment vertical="center"/>
    </xf>
    <xf numFmtId="0" fontId="4" fillId="0" borderId="0" xfId="0" applyFont="1" applyAlignment="1">
      <alignment vertical="center"/>
    </xf>
    <xf numFmtId="4" fontId="29" fillId="2" borderId="1" xfId="0" applyNumberFormat="1" applyFont="1" applyFill="1" applyBorder="1" applyAlignment="1">
      <alignment vertical="center"/>
    </xf>
    <xf numFmtId="164" fontId="10" fillId="0" borderId="0" xfId="0" applyNumberFormat="1" applyFont="1" applyAlignment="1">
      <alignment horizontal="center" vertical="center"/>
    </xf>
    <xf numFmtId="164" fontId="10" fillId="0" borderId="0" xfId="0" applyNumberFormat="1" applyFont="1" applyAlignment="1">
      <alignment vertical="center"/>
    </xf>
    <xf numFmtId="0" fontId="10" fillId="0" borderId="0" xfId="0" applyFont="1" applyAlignment="1">
      <alignment vertical="center"/>
    </xf>
    <xf numFmtId="164" fontId="17" fillId="0" borderId="0" xfId="0" applyNumberFormat="1" applyFont="1" applyAlignment="1">
      <alignment vertical="center"/>
    </xf>
    <xf numFmtId="0" fontId="10" fillId="0" borderId="0" xfId="0" applyFont="1" applyAlignment="1">
      <alignment horizontal="center" vertical="center"/>
    </xf>
    <xf numFmtId="164" fontId="44" fillId="0" borderId="0" xfId="0" applyNumberFormat="1" applyFont="1" applyAlignment="1">
      <alignment vertical="center"/>
    </xf>
    <xf numFmtId="0" fontId="10" fillId="0" borderId="0" xfId="0" applyFont="1" applyAlignment="1">
      <alignment horizontal="center" vertical="center" wrapText="1"/>
    </xf>
    <xf numFmtId="0" fontId="14" fillId="0" borderId="22" xfId="0" applyFont="1" applyBorder="1" applyAlignment="1">
      <alignment horizontal="center" vertical="center" wrapText="1"/>
    </xf>
    <xf numFmtId="0" fontId="14" fillId="0" borderId="40" xfId="0" applyFont="1" applyBorder="1" applyAlignment="1">
      <alignment horizontal="center" vertical="center" wrapText="1"/>
    </xf>
    <xf numFmtId="164" fontId="11" fillId="0" borderId="21" xfId="0" applyNumberFormat="1" applyFont="1" applyBorder="1" applyAlignment="1">
      <alignment horizontal="center" vertical="center"/>
    </xf>
    <xf numFmtId="164" fontId="11" fillId="0" borderId="37" xfId="0" applyNumberFormat="1" applyFont="1" applyBorder="1" applyAlignment="1">
      <alignment horizontal="center" vertical="center"/>
    </xf>
    <xf numFmtId="0" fontId="11" fillId="0" borderId="43" xfId="0" applyFont="1" applyBorder="1" applyAlignment="1">
      <alignment horizontal="center" vertical="center"/>
    </xf>
    <xf numFmtId="0" fontId="14" fillId="0" borderId="21" xfId="0" applyFont="1" applyBorder="1" applyAlignment="1">
      <alignment horizontal="center" vertical="center"/>
    </xf>
    <xf numFmtId="0" fontId="14" fillId="0" borderId="34" xfId="0" applyFont="1" applyBorder="1" applyAlignment="1">
      <alignment horizontal="center" vertical="center"/>
    </xf>
    <xf numFmtId="0" fontId="14" fillId="0" borderId="43" xfId="0" applyFont="1" applyBorder="1" applyAlignment="1">
      <alignment horizontal="center" vertical="center"/>
    </xf>
    <xf numFmtId="1" fontId="20" fillId="0" borderId="21" xfId="0" applyNumberFormat="1" applyFont="1" applyBorder="1" applyAlignment="1">
      <alignment horizontal="center" vertical="center"/>
    </xf>
    <xf numFmtId="1" fontId="20" fillId="0" borderId="37" xfId="0" applyNumberFormat="1" applyFont="1" applyBorder="1" applyAlignment="1">
      <alignment horizontal="center" vertical="center"/>
    </xf>
    <xf numFmtId="0" fontId="11" fillId="0" borderId="0" xfId="0" applyFont="1" applyAlignment="1">
      <alignment horizontal="center" vertical="center"/>
    </xf>
    <xf numFmtId="166" fontId="10" fillId="0" borderId="0" xfId="0" applyNumberFormat="1" applyFont="1" applyAlignment="1">
      <alignment horizontal="center" vertical="center"/>
    </xf>
    <xf numFmtId="164" fontId="29" fillId="0" borderId="0" xfId="0" applyNumberFormat="1" applyFont="1" applyAlignment="1">
      <alignment horizontal="left" vertical="center"/>
    </xf>
    <xf numFmtId="4" fontId="10" fillId="0" borderId="0" xfId="0" applyNumberFormat="1" applyFont="1" applyAlignment="1">
      <alignment vertical="center"/>
    </xf>
    <xf numFmtId="169" fontId="10" fillId="0" borderId="0" xfId="0" applyNumberFormat="1" applyFont="1" applyAlignment="1">
      <alignment horizontal="center" vertical="center"/>
    </xf>
    <xf numFmtId="169" fontId="10" fillId="0" borderId="0" xfId="0" applyNumberFormat="1" applyFont="1" applyAlignment="1">
      <alignment horizontal="left" vertical="center"/>
    </xf>
    <xf numFmtId="164" fontId="10" fillId="0" borderId="10" xfId="0" applyNumberFormat="1" applyFont="1" applyBorder="1" applyAlignment="1">
      <alignment vertical="center"/>
    </xf>
    <xf numFmtId="171" fontId="10" fillId="0" borderId="0" xfId="0" applyNumberFormat="1" applyFont="1" applyAlignment="1">
      <alignment vertical="center"/>
    </xf>
    <xf numFmtId="169" fontId="10" fillId="0" borderId="0" xfId="0" applyNumberFormat="1" applyFont="1" applyAlignment="1">
      <alignment vertical="center"/>
    </xf>
    <xf numFmtId="0" fontId="10" fillId="0" borderId="1" xfId="0" applyFont="1" applyBorder="1" applyAlignment="1">
      <alignment horizontal="left" vertical="center" wrapText="1"/>
    </xf>
    <xf numFmtId="166" fontId="39" fillId="0" borderId="0" xfId="0" applyNumberFormat="1" applyFont="1" applyAlignment="1">
      <alignment horizontal="center" vertical="center"/>
    </xf>
    <xf numFmtId="0" fontId="39" fillId="0" borderId="0" xfId="0" applyFont="1" applyAlignment="1">
      <alignment vertical="center"/>
    </xf>
    <xf numFmtId="4" fontId="29" fillId="0" borderId="0" xfId="0" applyNumberFormat="1" applyFont="1" applyAlignment="1">
      <alignment horizontal="center" vertical="center"/>
    </xf>
    <xf numFmtId="0" fontId="29" fillId="0" borderId="0" xfId="0" applyFont="1" applyAlignment="1">
      <alignment vertical="center"/>
    </xf>
    <xf numFmtId="0" fontId="29" fillId="0" borderId="0" xfId="0" applyFont="1" applyAlignment="1">
      <alignment horizontal="center" vertical="center"/>
    </xf>
    <xf numFmtId="0" fontId="29" fillId="0" borderId="0" xfId="0" applyFont="1" applyAlignment="1">
      <alignment horizontal="left" vertical="center"/>
    </xf>
    <xf numFmtId="0" fontId="10" fillId="0" borderId="10" xfId="0" applyFont="1" applyBorder="1" applyAlignment="1">
      <alignment vertical="center"/>
    </xf>
    <xf numFmtId="0" fontId="29" fillId="0" borderId="10" xfId="0" applyFont="1" applyBorder="1" applyAlignment="1">
      <alignment horizontal="center" vertical="center"/>
    </xf>
    <xf numFmtId="0" fontId="39" fillId="0" borderId="0" xfId="0" applyFont="1" applyAlignment="1">
      <alignment horizontal="center" vertical="center"/>
    </xf>
    <xf numFmtId="4" fontId="39" fillId="0" borderId="0" xfId="0" applyNumberFormat="1" applyFont="1" applyAlignment="1">
      <alignment vertical="center"/>
    </xf>
    <xf numFmtId="164" fontId="39" fillId="0" borderId="0" xfId="0" applyNumberFormat="1" applyFont="1" applyAlignment="1">
      <alignment vertical="center"/>
    </xf>
    <xf numFmtId="164" fontId="39" fillId="0" borderId="0" xfId="0" applyNumberFormat="1" applyFont="1" applyAlignment="1">
      <alignment horizontal="center" vertical="center"/>
    </xf>
    <xf numFmtId="4" fontId="10" fillId="0" borderId="0" xfId="0" applyNumberFormat="1" applyFont="1" applyAlignment="1">
      <alignment horizontal="center" vertical="center"/>
    </xf>
    <xf numFmtId="168" fontId="10" fillId="0" borderId="0" xfId="0" applyNumberFormat="1" applyFont="1" applyAlignment="1">
      <alignment horizontal="center" vertical="center"/>
    </xf>
    <xf numFmtId="168" fontId="10" fillId="0" borderId="0" xfId="0" applyNumberFormat="1" applyFont="1" applyAlignment="1">
      <alignment vertical="center"/>
    </xf>
    <xf numFmtId="0" fontId="61" fillId="0" borderId="0" xfId="0" applyFont="1" applyAlignment="1">
      <alignment horizontal="center" vertical="center"/>
    </xf>
    <xf numFmtId="0" fontId="61" fillId="0" borderId="0" xfId="0" applyFont="1" applyAlignment="1">
      <alignment vertical="center"/>
    </xf>
    <xf numFmtId="164" fontId="60" fillId="0" borderId="0" xfId="0" applyNumberFormat="1" applyFont="1" applyAlignment="1">
      <alignment horizontal="center" vertical="center"/>
    </xf>
    <xf numFmtId="0" fontId="60" fillId="0" borderId="0" xfId="0" applyFont="1" applyAlignment="1">
      <alignment vertical="center"/>
    </xf>
    <xf numFmtId="0" fontId="60" fillId="0" borderId="0" xfId="0" applyFont="1" applyAlignment="1">
      <alignment horizontal="center" vertical="center"/>
    </xf>
    <xf numFmtId="0" fontId="51" fillId="0" borderId="0" xfId="0" applyFont="1" applyAlignment="1">
      <alignment horizontal="center" vertical="center"/>
    </xf>
    <xf numFmtId="0" fontId="51" fillId="0" borderId="0" xfId="0" applyFont="1" applyAlignment="1">
      <alignment vertical="center"/>
    </xf>
    <xf numFmtId="0" fontId="10" fillId="0" borderId="0" xfId="0" applyFont="1" applyAlignment="1">
      <alignment horizontal="left" vertical="center"/>
    </xf>
    <xf numFmtId="164" fontId="11" fillId="0" borderId="0" xfId="0" applyNumberFormat="1" applyFont="1" applyAlignment="1">
      <alignment horizontal="center" vertical="center"/>
    </xf>
    <xf numFmtId="0" fontId="60" fillId="0" borderId="0" xfId="0" applyFont="1" applyAlignment="1">
      <alignment horizontal="left" vertical="center"/>
    </xf>
    <xf numFmtId="164" fontId="60" fillId="0" borderId="0" xfId="0" applyNumberFormat="1" applyFont="1" applyAlignment="1">
      <alignment vertical="center"/>
    </xf>
    <xf numFmtId="164" fontId="29" fillId="0" borderId="0" xfId="0" applyNumberFormat="1" applyFont="1" applyAlignment="1">
      <alignment horizontal="center" vertical="center"/>
    </xf>
    <xf numFmtId="166" fontId="10" fillId="0" borderId="0" xfId="0" applyNumberFormat="1" applyFont="1" applyAlignment="1">
      <alignment horizontal="center" vertical="center" wrapText="1"/>
    </xf>
    <xf numFmtId="171" fontId="10" fillId="0" borderId="0" xfId="0" applyNumberFormat="1" applyFont="1" applyAlignment="1">
      <alignment horizontal="center" vertical="center" wrapText="1"/>
    </xf>
    <xf numFmtId="171" fontId="10" fillId="0" borderId="0" xfId="0" applyNumberFormat="1" applyFont="1" applyAlignment="1">
      <alignment horizontal="center" vertical="center"/>
    </xf>
    <xf numFmtId="166" fontId="10" fillId="0" borderId="0" xfId="0" applyNumberFormat="1" applyFont="1" applyAlignment="1">
      <alignment vertical="center"/>
    </xf>
    <xf numFmtId="3" fontId="13" fillId="0" borderId="0" xfId="0" applyNumberFormat="1" applyFont="1" applyAlignment="1">
      <alignment vertical="center"/>
    </xf>
    <xf numFmtId="0" fontId="44" fillId="0" borderId="0" xfId="0" applyFont="1" applyAlignment="1">
      <alignment vertical="center"/>
    </xf>
    <xf numFmtId="0" fontId="18" fillId="0" borderId="0" xfId="0" applyFont="1" applyAlignment="1">
      <alignment vertical="center"/>
    </xf>
    <xf numFmtId="0" fontId="19" fillId="0" borderId="0" xfId="0" applyFont="1" applyAlignment="1">
      <alignment vertical="center"/>
    </xf>
    <xf numFmtId="164" fontId="17" fillId="0" borderId="0" xfId="0" applyNumberFormat="1" applyFont="1" applyAlignment="1">
      <alignment horizontal="center" vertical="center"/>
    </xf>
    <xf numFmtId="0" fontId="10" fillId="0" borderId="0" xfId="0" applyFont="1" applyAlignment="1">
      <alignment vertical="center" wrapText="1"/>
    </xf>
    <xf numFmtId="164" fontId="14" fillId="0" borderId="1" xfId="0" applyNumberFormat="1" applyFont="1" applyBorder="1" applyAlignment="1">
      <alignment vertical="center"/>
    </xf>
    <xf numFmtId="0" fontId="17" fillId="0" borderId="0" xfId="0" applyFont="1" applyAlignment="1">
      <alignment horizontal="center" vertical="center"/>
    </xf>
    <xf numFmtId="0" fontId="17" fillId="0" borderId="0" xfId="0" applyFont="1" applyAlignment="1">
      <alignment vertical="center"/>
    </xf>
    <xf numFmtId="0" fontId="0" fillId="0" borderId="0" xfId="0" applyAlignment="1">
      <alignment horizontal="right" vertical="center"/>
    </xf>
    <xf numFmtId="0" fontId="46" fillId="0" borderId="0" xfId="0" applyFont="1" applyAlignment="1">
      <alignment vertical="center"/>
    </xf>
    <xf numFmtId="0" fontId="20" fillId="0" borderId="19" xfId="0" applyFont="1" applyBorder="1" applyAlignment="1">
      <alignment horizontal="center" vertical="center" wrapText="1"/>
    </xf>
    <xf numFmtId="0" fontId="20" fillId="0" borderId="16" xfId="0" applyFont="1" applyBorder="1" applyAlignment="1">
      <alignment horizontal="center" vertical="center" wrapText="1"/>
    </xf>
    <xf numFmtId="0" fontId="20" fillId="0" borderId="1" xfId="0" applyFont="1" applyBorder="1" applyAlignment="1">
      <alignment horizontal="center" vertical="center" wrapText="1"/>
    </xf>
    <xf numFmtId="0" fontId="14" fillId="0" borderId="1" xfId="0" applyFont="1" applyBorder="1" applyAlignment="1">
      <alignment vertical="center" wrapText="1"/>
    </xf>
    <xf numFmtId="165" fontId="14" fillId="0" borderId="1" xfId="0" applyNumberFormat="1" applyFont="1" applyBorder="1" applyAlignment="1">
      <alignment horizontal="right" vertical="center" wrapText="1"/>
    </xf>
    <xf numFmtId="165" fontId="14" fillId="0" borderId="27" xfId="0" applyNumberFormat="1" applyFont="1" applyBorder="1" applyAlignment="1">
      <alignment horizontal="right" vertical="center" wrapText="1"/>
    </xf>
    <xf numFmtId="0" fontId="17" fillId="0" borderId="16" xfId="0" applyFont="1" applyBorder="1" applyAlignment="1">
      <alignment horizontal="center" vertical="center" wrapText="1"/>
    </xf>
    <xf numFmtId="0" fontId="13" fillId="0" borderId="1" xfId="0" applyFont="1" applyBorder="1" applyAlignment="1">
      <alignment horizontal="left" vertical="center" wrapText="1"/>
    </xf>
    <xf numFmtId="164" fontId="13" fillId="0" borderId="1" xfId="0" applyNumberFormat="1" applyFont="1" applyBorder="1" applyAlignment="1">
      <alignment horizontal="right" vertical="center" wrapText="1"/>
    </xf>
    <xf numFmtId="164" fontId="15" fillId="0" borderId="1" xfId="0" applyNumberFormat="1" applyFont="1" applyBorder="1" applyAlignment="1">
      <alignment vertical="center"/>
    </xf>
    <xf numFmtId="164" fontId="15" fillId="0" borderId="27" xfId="0" applyNumberFormat="1" applyFont="1" applyBorder="1" applyAlignment="1">
      <alignment vertical="center"/>
    </xf>
    <xf numFmtId="171" fontId="0" fillId="0" borderId="0" xfId="0" applyNumberFormat="1" applyAlignment="1">
      <alignment vertical="center"/>
    </xf>
    <xf numFmtId="0" fontId="31" fillId="0" borderId="16" xfId="0" applyFont="1" applyBorder="1" applyAlignment="1">
      <alignment horizontal="center" vertical="center" wrapText="1"/>
    </xf>
    <xf numFmtId="164" fontId="33" fillId="0" borderId="1" xfId="0" applyNumberFormat="1" applyFont="1" applyBorder="1" applyAlignment="1">
      <alignment vertical="center"/>
    </xf>
    <xf numFmtId="164" fontId="33" fillId="0" borderId="27" xfId="0" applyNumberFormat="1" applyFont="1" applyBorder="1" applyAlignment="1">
      <alignment vertical="center"/>
    </xf>
    <xf numFmtId="164" fontId="37" fillId="0" borderId="0" xfId="0" applyNumberFormat="1" applyFont="1" applyAlignment="1">
      <alignment horizontal="center" vertical="center"/>
    </xf>
    <xf numFmtId="0" fontId="34" fillId="0" borderId="0" xfId="0" applyFont="1" applyAlignment="1">
      <alignment vertical="center"/>
    </xf>
    <xf numFmtId="164" fontId="34" fillId="0" borderId="0" xfId="0" applyNumberFormat="1" applyFont="1" applyAlignment="1">
      <alignment vertical="center"/>
    </xf>
    <xf numFmtId="0" fontId="67" fillId="0" borderId="1" xfId="0" applyFont="1" applyBorder="1" applyAlignment="1">
      <alignment horizontal="left" vertical="center" wrapText="1"/>
    </xf>
    <xf numFmtId="164" fontId="67" fillId="0" borderId="27" xfId="0" applyNumberFormat="1" applyFont="1" applyBorder="1" applyAlignment="1">
      <alignment horizontal="right" vertical="center" wrapText="1"/>
    </xf>
    <xf numFmtId="169" fontId="53" fillId="0" borderId="0" xfId="0" applyNumberFormat="1" applyFont="1" applyAlignment="1">
      <alignment horizontal="center" vertical="center"/>
    </xf>
    <xf numFmtId="0" fontId="54" fillId="0" borderId="0" xfId="0" applyFont="1" applyAlignment="1">
      <alignment vertical="center"/>
    </xf>
    <xf numFmtId="0" fontId="29" fillId="0" borderId="1" xfId="0" applyFont="1" applyBorder="1" applyAlignment="1">
      <alignment horizontal="left" vertical="center" wrapText="1"/>
    </xf>
    <xf numFmtId="4" fontId="43" fillId="0" borderId="0" xfId="0" applyNumberFormat="1" applyFont="1" applyAlignment="1">
      <alignment vertical="center"/>
    </xf>
    <xf numFmtId="0" fontId="43" fillId="0" borderId="0" xfId="0" applyFont="1" applyAlignment="1">
      <alignment vertical="center"/>
    </xf>
    <xf numFmtId="164" fontId="28" fillId="0" borderId="1" xfId="0" applyNumberFormat="1" applyFont="1" applyBorder="1" applyAlignment="1">
      <alignment vertical="center"/>
    </xf>
    <xf numFmtId="0" fontId="15" fillId="0" borderId="1" xfId="0" applyFont="1" applyBorder="1" applyAlignment="1">
      <alignment vertical="center" wrapText="1"/>
    </xf>
    <xf numFmtId="164" fontId="36" fillId="0" borderId="0" xfId="0" applyNumberFormat="1" applyFont="1" applyAlignment="1">
      <alignment horizontal="left" vertical="center"/>
    </xf>
    <xf numFmtId="164" fontId="0" fillId="0" borderId="0" xfId="0" applyNumberFormat="1" applyAlignment="1">
      <alignment horizontal="center" vertical="center"/>
    </xf>
    <xf numFmtId="0" fontId="29" fillId="0" borderId="1" xfId="0" applyFont="1" applyBorder="1" applyAlignment="1">
      <alignment vertical="center" wrapText="1"/>
    </xf>
    <xf numFmtId="164" fontId="36" fillId="0" borderId="0" xfId="0" applyNumberFormat="1" applyFont="1" applyAlignment="1">
      <alignment horizontal="right" vertical="center"/>
    </xf>
    <xf numFmtId="169" fontId="0" fillId="0" borderId="0" xfId="0" applyNumberFormat="1" applyAlignment="1">
      <alignment vertical="center"/>
    </xf>
    <xf numFmtId="165" fontId="0" fillId="0" borderId="0" xfId="0" applyNumberFormat="1" applyAlignment="1">
      <alignment vertical="center"/>
    </xf>
    <xf numFmtId="49" fontId="17" fillId="0" borderId="16" xfId="0" applyNumberFormat="1" applyFont="1" applyBorder="1" applyAlignment="1">
      <alignment horizontal="center" vertical="center" wrapText="1"/>
    </xf>
    <xf numFmtId="165" fontId="0" fillId="0" borderId="0" xfId="0" applyNumberFormat="1" applyAlignment="1">
      <alignment horizontal="center" vertical="center"/>
    </xf>
    <xf numFmtId="164" fontId="30" fillId="0" borderId="0" xfId="0" applyNumberFormat="1" applyFont="1" applyAlignment="1">
      <alignment horizontal="center" vertical="center"/>
    </xf>
    <xf numFmtId="169" fontId="30" fillId="0" borderId="0" xfId="0" applyNumberFormat="1" applyFont="1" applyAlignment="1">
      <alignment horizontal="center" vertical="center"/>
    </xf>
    <xf numFmtId="164" fontId="47" fillId="0" borderId="1" xfId="0" applyNumberFormat="1" applyFont="1" applyBorder="1" applyAlignment="1">
      <alignment vertical="center"/>
    </xf>
    <xf numFmtId="164" fontId="47" fillId="0" borderId="27" xfId="0" applyNumberFormat="1" applyFont="1" applyBorder="1" applyAlignment="1">
      <alignment vertical="center"/>
    </xf>
    <xf numFmtId="164" fontId="48" fillId="0" borderId="0" xfId="0" applyNumberFormat="1" applyFont="1" applyAlignment="1">
      <alignment horizontal="center" vertical="center"/>
    </xf>
    <xf numFmtId="164" fontId="49" fillId="0" borderId="0" xfId="0" applyNumberFormat="1" applyFont="1" applyAlignment="1">
      <alignment vertical="center"/>
    </xf>
    <xf numFmtId="0" fontId="49" fillId="0" borderId="0" xfId="0" applyFont="1" applyAlignment="1">
      <alignment vertical="center"/>
    </xf>
    <xf numFmtId="16" fontId="17" fillId="0" borderId="16" xfId="0" applyNumberFormat="1" applyFont="1" applyBorder="1" applyAlignment="1">
      <alignment horizontal="center" vertical="center" wrapText="1"/>
    </xf>
    <xf numFmtId="164" fontId="40" fillId="0" borderId="1" xfId="0" applyNumberFormat="1" applyFont="1" applyBorder="1" applyAlignment="1">
      <alignment horizontal="right" vertical="center" wrapText="1"/>
    </xf>
    <xf numFmtId="165" fontId="50" fillId="0" borderId="0" xfId="0" applyNumberFormat="1" applyFont="1" applyAlignment="1">
      <alignment vertical="center"/>
    </xf>
    <xf numFmtId="164" fontId="50" fillId="0" borderId="0" xfId="0" applyNumberFormat="1" applyFont="1" applyAlignment="1">
      <alignment vertical="center"/>
    </xf>
    <xf numFmtId="0" fontId="50" fillId="0" borderId="0" xfId="0" applyFont="1" applyAlignment="1">
      <alignment vertical="center"/>
    </xf>
    <xf numFmtId="169" fontId="36" fillId="0" borderId="0" xfId="0" applyNumberFormat="1" applyFont="1" applyAlignment="1">
      <alignment horizontal="center" vertical="center"/>
    </xf>
    <xf numFmtId="0" fontId="16" fillId="0" borderId="1" xfId="0" applyFont="1" applyBorder="1" applyAlignment="1">
      <alignment vertical="center" wrapText="1"/>
    </xf>
    <xf numFmtId="164" fontId="28" fillId="0" borderId="1" xfId="0" applyNumberFormat="1" applyFont="1" applyBorder="1" applyAlignment="1">
      <alignment horizontal="right" vertical="center" wrapText="1"/>
    </xf>
    <xf numFmtId="164" fontId="43" fillId="0" borderId="0" xfId="0" applyNumberFormat="1" applyFont="1" applyAlignment="1">
      <alignment vertical="center"/>
    </xf>
    <xf numFmtId="164" fontId="24" fillId="0" borderId="1" xfId="0" applyNumberFormat="1" applyFont="1" applyBorder="1" applyAlignment="1">
      <alignment horizontal="right" vertical="center"/>
    </xf>
    <xf numFmtId="164" fontId="24" fillId="0" borderId="27" xfId="0" applyNumberFormat="1" applyFont="1" applyBorder="1" applyAlignment="1">
      <alignment horizontal="right" vertical="center"/>
    </xf>
    <xf numFmtId="164" fontId="15" fillId="0" borderId="1" xfId="0" applyNumberFormat="1" applyFont="1" applyBorder="1" applyAlignment="1">
      <alignment horizontal="right" vertical="center" wrapText="1"/>
    </xf>
    <xf numFmtId="164" fontId="15" fillId="0" borderId="1" xfId="0" applyNumberFormat="1" applyFont="1" applyBorder="1" applyAlignment="1">
      <alignment horizontal="right" vertical="center"/>
    </xf>
    <xf numFmtId="164" fontId="15" fillId="0" borderId="27" xfId="0" applyNumberFormat="1" applyFont="1" applyBorder="1" applyAlignment="1">
      <alignment horizontal="right" vertical="center"/>
    </xf>
    <xf numFmtId="174" fontId="36" fillId="0" borderId="0" xfId="0" applyNumberFormat="1" applyFont="1" applyAlignment="1">
      <alignment horizontal="center" vertical="center"/>
    </xf>
    <xf numFmtId="164" fontId="15" fillId="0" borderId="27" xfId="0" applyNumberFormat="1" applyFont="1" applyBorder="1" applyAlignment="1">
      <alignment vertical="center" wrapText="1"/>
    </xf>
    <xf numFmtId="164" fontId="24" fillId="0" borderId="0" xfId="0" applyNumberFormat="1" applyFont="1" applyAlignment="1">
      <alignment horizontal="center" vertical="center"/>
    </xf>
    <xf numFmtId="164" fontId="15" fillId="0" borderId="27" xfId="0" applyNumberFormat="1" applyFont="1" applyBorder="1" applyAlignment="1">
      <alignment horizontal="right" vertical="center" wrapText="1"/>
    </xf>
    <xf numFmtId="0" fontId="62" fillId="0" borderId="1" xfId="0" applyFont="1" applyBorder="1" applyAlignment="1">
      <alignment vertical="center" wrapText="1"/>
    </xf>
    <xf numFmtId="164" fontId="62" fillId="0" borderId="1" xfId="0" applyNumberFormat="1" applyFont="1" applyBorder="1" applyAlignment="1">
      <alignment horizontal="right" vertical="center" wrapText="1"/>
    </xf>
    <xf numFmtId="164" fontId="56" fillId="0" borderId="0" xfId="0" applyNumberFormat="1" applyFont="1" applyAlignment="1">
      <alignment horizontal="center" vertical="center"/>
    </xf>
    <xf numFmtId="164" fontId="36" fillId="0" borderId="0" xfId="0" applyNumberFormat="1" applyFont="1" applyAlignment="1">
      <alignment horizontal="center"/>
    </xf>
    <xf numFmtId="0" fontId="0" fillId="0" borderId="0" xfId="0" applyAlignment="1">
      <alignment horizontal="center"/>
    </xf>
    <xf numFmtId="0" fontId="61" fillId="0" borderId="1" xfId="0" applyFont="1" applyBorder="1" applyAlignment="1">
      <alignment vertical="center" wrapText="1"/>
    </xf>
    <xf numFmtId="0" fontId="55" fillId="0" borderId="1" xfId="0" applyFont="1" applyBorder="1" applyAlignment="1">
      <alignment vertical="center" wrapText="1"/>
    </xf>
    <xf numFmtId="164" fontId="55" fillId="0" borderId="1" xfId="0" applyNumberFormat="1" applyFont="1" applyBorder="1" applyAlignment="1">
      <alignment horizontal="right" vertical="center" wrapText="1"/>
    </xf>
    <xf numFmtId="164" fontId="55" fillId="0" borderId="1" xfId="0" applyNumberFormat="1" applyFont="1" applyBorder="1" applyAlignment="1">
      <alignment vertical="center"/>
    </xf>
    <xf numFmtId="164" fontId="55" fillId="0" borderId="27" xfId="0" applyNumberFormat="1" applyFont="1" applyBorder="1" applyAlignment="1">
      <alignment horizontal="right" vertical="center" wrapText="1"/>
    </xf>
    <xf numFmtId="164" fontId="56" fillId="0" borderId="0" xfId="0" applyNumberFormat="1" applyFont="1" applyAlignment="1">
      <alignment horizontal="center" vertical="center" wrapText="1"/>
    </xf>
    <xf numFmtId="164" fontId="57" fillId="0" borderId="0" xfId="0" applyNumberFormat="1" applyFont="1" applyAlignment="1">
      <alignment vertical="center"/>
    </xf>
    <xf numFmtId="0" fontId="57" fillId="0" borderId="0" xfId="0" applyFont="1" applyAlignment="1">
      <alignment vertical="center"/>
    </xf>
    <xf numFmtId="164" fontId="13" fillId="0" borderId="27" xfId="0" applyNumberFormat="1" applyFont="1" applyBorder="1" applyAlignment="1">
      <alignment horizontal="right" vertical="center" wrapText="1"/>
    </xf>
    <xf numFmtId="171" fontId="42" fillId="0" borderId="0" xfId="0" applyNumberFormat="1" applyFont="1" applyAlignment="1">
      <alignment horizontal="center" vertical="center"/>
    </xf>
    <xf numFmtId="17" fontId="17" fillId="0" borderId="16" xfId="0" applyNumberFormat="1" applyFont="1" applyBorder="1" applyAlignment="1">
      <alignment horizontal="center" vertical="center" wrapText="1"/>
    </xf>
    <xf numFmtId="0" fontId="24" fillId="0" borderId="1" xfId="0" applyFont="1" applyBorder="1" applyAlignment="1">
      <alignment vertical="center" wrapText="1"/>
    </xf>
    <xf numFmtId="164" fontId="24" fillId="0" borderId="1" xfId="0" applyNumberFormat="1" applyFont="1" applyBorder="1" applyAlignment="1">
      <alignment horizontal="right" vertical="center" wrapText="1"/>
    </xf>
    <xf numFmtId="164" fontId="14" fillId="0" borderId="1" xfId="0" applyNumberFormat="1" applyFont="1" applyBorder="1" applyAlignment="1">
      <alignment horizontal="right" vertical="center"/>
    </xf>
    <xf numFmtId="164" fontId="24" fillId="0" borderId="27" xfId="0" applyNumberFormat="1" applyFont="1" applyBorder="1" applyAlignment="1">
      <alignment horizontal="right" vertical="center" wrapText="1"/>
    </xf>
    <xf numFmtId="0" fontId="11" fillId="0" borderId="1" xfId="0" applyFont="1" applyBorder="1" applyAlignment="1">
      <alignment vertical="center" wrapText="1"/>
    </xf>
    <xf numFmtId="164" fontId="14" fillId="0" borderId="1" xfId="0" applyNumberFormat="1" applyFont="1" applyBorder="1" applyAlignment="1">
      <alignment horizontal="right" vertical="center" wrapText="1"/>
    </xf>
    <xf numFmtId="164" fontId="14" fillId="0" borderId="27" xfId="0" applyNumberFormat="1" applyFont="1" applyBorder="1" applyAlignment="1">
      <alignment horizontal="right" vertical="center" wrapText="1"/>
    </xf>
    <xf numFmtId="0" fontId="52" fillId="0" borderId="0" xfId="0" applyFont="1" applyAlignment="1">
      <alignment vertical="center"/>
    </xf>
    <xf numFmtId="0" fontId="63" fillId="0" borderId="1" xfId="0" applyFont="1" applyBorder="1" applyAlignment="1">
      <alignment vertical="center" wrapText="1"/>
    </xf>
    <xf numFmtId="164" fontId="64" fillId="0" borderId="1" xfId="0" applyNumberFormat="1" applyFont="1" applyBorder="1" applyAlignment="1">
      <alignment horizontal="right" vertical="center" wrapText="1"/>
    </xf>
    <xf numFmtId="164" fontId="64" fillId="0" borderId="1" xfId="0" applyNumberFormat="1" applyFont="1" applyBorder="1" applyAlignment="1">
      <alignment vertical="center"/>
    </xf>
    <xf numFmtId="164" fontId="64" fillId="0" borderId="27" xfId="0" applyNumberFormat="1" applyFont="1" applyBorder="1" applyAlignment="1">
      <alignment horizontal="right" vertical="center" wrapText="1"/>
    </xf>
    <xf numFmtId="164" fontId="65" fillId="0" borderId="0" xfId="0" applyNumberFormat="1" applyFont="1" applyAlignment="1">
      <alignment horizontal="center" vertical="center"/>
    </xf>
    <xf numFmtId="0" fontId="66" fillId="0" borderId="0" xfId="0" applyFont="1" applyAlignment="1">
      <alignment vertical="center"/>
    </xf>
    <xf numFmtId="164" fontId="66" fillId="0" borderId="0" xfId="0" applyNumberFormat="1" applyFont="1" applyAlignment="1">
      <alignment vertical="center"/>
    </xf>
    <xf numFmtId="164" fontId="28" fillId="0" borderId="27" xfId="0" applyNumberFormat="1" applyFont="1" applyBorder="1" applyAlignment="1">
      <alignment horizontal="right" vertical="center" wrapText="1"/>
    </xf>
    <xf numFmtId="0" fontId="30" fillId="0" borderId="16" xfId="0" applyFont="1" applyBorder="1" applyAlignment="1">
      <alignment horizontal="center" vertical="center"/>
    </xf>
    <xf numFmtId="164" fontId="14" fillId="0" borderId="27" xfId="0" applyNumberFormat="1" applyFont="1" applyBorder="1" applyAlignment="1">
      <alignment vertical="center"/>
    </xf>
    <xf numFmtId="4" fontId="36" fillId="0" borderId="0" xfId="0" applyNumberFormat="1" applyFont="1" applyAlignment="1">
      <alignment horizontal="center" vertical="center"/>
    </xf>
    <xf numFmtId="164" fontId="33" fillId="0" borderId="1" xfId="0" applyNumberFormat="1" applyFont="1" applyBorder="1" applyAlignment="1">
      <alignment horizontal="right" vertical="center"/>
    </xf>
    <xf numFmtId="166" fontId="36" fillId="0" borderId="0" xfId="0" applyNumberFormat="1" applyFont="1" applyAlignment="1">
      <alignment horizontal="center" vertical="center"/>
    </xf>
    <xf numFmtId="170" fontId="0" fillId="0" borderId="0" xfId="0" applyNumberFormat="1" applyAlignment="1">
      <alignment horizontal="center" vertical="center"/>
    </xf>
    <xf numFmtId="171" fontId="36" fillId="0" borderId="0" xfId="0" applyNumberFormat="1" applyFont="1" applyAlignment="1">
      <alignment horizontal="center" vertical="center"/>
    </xf>
    <xf numFmtId="0" fontId="69" fillId="0" borderId="16" xfId="0" applyFont="1" applyBorder="1" applyAlignment="1">
      <alignment horizontal="center" vertical="center" wrapText="1"/>
    </xf>
    <xf numFmtId="164" fontId="67" fillId="0" borderId="1" xfId="0" applyNumberFormat="1" applyFont="1" applyBorder="1" applyAlignment="1">
      <alignment horizontal="right" vertical="center" wrapText="1"/>
    </xf>
    <xf numFmtId="164" fontId="67" fillId="0" borderId="1" xfId="0" applyNumberFormat="1" applyFont="1" applyBorder="1" applyAlignment="1">
      <alignment horizontal="right" vertical="center"/>
    </xf>
    <xf numFmtId="164" fontId="67" fillId="0" borderId="1" xfId="0" applyNumberFormat="1" applyFont="1" applyBorder="1" applyAlignment="1">
      <alignment vertical="center"/>
    </xf>
    <xf numFmtId="164" fontId="67" fillId="0" borderId="27" xfId="0" applyNumberFormat="1" applyFont="1" applyBorder="1" applyAlignment="1">
      <alignment vertical="center"/>
    </xf>
    <xf numFmtId="0" fontId="67" fillId="0" borderId="1" xfId="0" applyFont="1" applyBorder="1" applyAlignment="1">
      <alignment wrapText="1"/>
    </xf>
    <xf numFmtId="170" fontId="43" fillId="0" borderId="0" xfId="0" applyNumberFormat="1" applyFont="1" applyAlignment="1">
      <alignment vertical="center"/>
    </xf>
    <xf numFmtId="164" fontId="73" fillId="0" borderId="0" xfId="0" applyNumberFormat="1" applyFont="1" applyAlignment="1">
      <alignment horizontal="center" vertical="center"/>
    </xf>
    <xf numFmtId="164" fontId="73" fillId="0" borderId="0" xfId="0" applyNumberFormat="1" applyFont="1" applyAlignment="1">
      <alignment horizontal="left" vertical="center"/>
    </xf>
    <xf numFmtId="170" fontId="36" fillId="0" borderId="0" xfId="0" applyNumberFormat="1" applyFont="1" applyAlignment="1">
      <alignment horizontal="center" vertical="center"/>
    </xf>
    <xf numFmtId="164" fontId="14" fillId="0" borderId="27" xfId="0" applyNumberFormat="1" applyFont="1" applyBorder="1" applyAlignment="1">
      <alignment horizontal="right" vertical="center"/>
    </xf>
    <xf numFmtId="0" fontId="7" fillId="0" borderId="16" xfId="0" applyFont="1" applyBorder="1" applyAlignment="1">
      <alignment horizontal="center" vertical="center"/>
    </xf>
    <xf numFmtId="164" fontId="13" fillId="0" borderId="27" xfId="0" applyNumberFormat="1" applyFont="1" applyBorder="1" applyAlignment="1">
      <alignment horizontal="right" vertical="center"/>
    </xf>
    <xf numFmtId="164" fontId="28" fillId="0" borderId="27" xfId="0" applyNumberFormat="1" applyFont="1" applyBorder="1" applyAlignment="1">
      <alignment horizontal="right" vertical="center"/>
    </xf>
    <xf numFmtId="164" fontId="59" fillId="0" borderId="0" xfId="0" applyNumberFormat="1" applyFont="1" applyAlignment="1">
      <alignment horizontal="center" vertical="center"/>
    </xf>
    <xf numFmtId="164" fontId="42" fillId="0" borderId="0" xfId="0" applyNumberFormat="1" applyFont="1" applyAlignment="1">
      <alignment horizontal="center" vertical="center" wrapText="1"/>
    </xf>
    <xf numFmtId="171" fontId="43" fillId="0" borderId="0" xfId="0" applyNumberFormat="1" applyFont="1" applyAlignment="1">
      <alignment vertical="center"/>
    </xf>
    <xf numFmtId="0" fontId="10" fillId="0" borderId="1" xfId="0" applyFont="1" applyBorder="1" applyAlignment="1">
      <alignment wrapText="1"/>
    </xf>
    <xf numFmtId="164" fontId="38" fillId="0" borderId="0" xfId="0" applyNumberFormat="1" applyFont="1" applyAlignment="1">
      <alignment horizontal="right" vertical="center"/>
    </xf>
    <xf numFmtId="164" fontId="70" fillId="0" borderId="0" xfId="0" applyNumberFormat="1" applyFont="1" applyAlignment="1">
      <alignment horizontal="right" vertical="center"/>
    </xf>
    <xf numFmtId="16" fontId="0" fillId="0" borderId="16" xfId="0" applyNumberFormat="1" applyBorder="1" applyAlignment="1">
      <alignment horizontal="center" vertical="center"/>
    </xf>
    <xf numFmtId="164" fontId="68" fillId="0" borderId="0" xfId="0" applyNumberFormat="1" applyFont="1" applyAlignment="1">
      <alignment horizontal="center" vertical="center"/>
    </xf>
    <xf numFmtId="0" fontId="52" fillId="0" borderId="16" xfId="0" applyFont="1" applyBorder="1" applyAlignment="1">
      <alignment horizontal="center" vertical="center"/>
    </xf>
    <xf numFmtId="164" fontId="72" fillId="0" borderId="0" xfId="0" applyNumberFormat="1" applyFont="1" applyAlignment="1">
      <alignment horizontal="center" vertical="center"/>
    </xf>
    <xf numFmtId="164" fontId="52" fillId="0" borderId="0" xfId="0" applyNumberFormat="1" applyFont="1" applyAlignment="1">
      <alignment vertical="center"/>
    </xf>
    <xf numFmtId="0" fontId="3" fillId="0" borderId="16" xfId="0" applyFont="1" applyBorder="1" applyAlignment="1">
      <alignment horizontal="center" vertical="center"/>
    </xf>
    <xf numFmtId="0" fontId="3" fillId="0" borderId="0" xfId="0" applyFont="1" applyAlignment="1">
      <alignment vertical="center"/>
    </xf>
    <xf numFmtId="164" fontId="3" fillId="0" borderId="0" xfId="0" applyNumberFormat="1" applyFont="1" applyAlignment="1">
      <alignment vertical="center"/>
    </xf>
    <xf numFmtId="164" fontId="30" fillId="0" borderId="0" xfId="0" applyNumberFormat="1" applyFont="1" applyAlignment="1">
      <alignment vertical="center"/>
    </xf>
    <xf numFmtId="164" fontId="82" fillId="0" borderId="0" xfId="0" applyNumberFormat="1" applyFont="1" applyAlignment="1">
      <alignment horizontal="center" vertical="center"/>
    </xf>
    <xf numFmtId="0" fontId="71" fillId="0" borderId="0" xfId="0" applyFont="1" applyAlignment="1">
      <alignment vertical="center"/>
    </xf>
    <xf numFmtId="168" fontId="0" fillId="0" borderId="0" xfId="0" applyNumberFormat="1" applyAlignment="1">
      <alignment vertical="center"/>
    </xf>
    <xf numFmtId="3" fontId="75" fillId="0" borderId="0" xfId="0" applyNumberFormat="1" applyFont="1" applyAlignment="1">
      <alignment horizontal="center" vertical="center"/>
    </xf>
    <xf numFmtId="3" fontId="18" fillId="0" borderId="0" xfId="0" applyNumberFormat="1" applyFont="1" applyAlignment="1">
      <alignment horizontal="center" vertical="center"/>
    </xf>
    <xf numFmtId="164" fontId="18" fillId="0" borderId="0" xfId="0" applyNumberFormat="1" applyFont="1" applyAlignment="1">
      <alignment horizontal="center" vertical="center"/>
    </xf>
    <xf numFmtId="164" fontId="44" fillId="6" borderId="0" xfId="0" applyNumberFormat="1" applyFont="1" applyFill="1" applyAlignment="1">
      <alignment vertical="center"/>
    </xf>
    <xf numFmtId="164" fontId="0" fillId="6" borderId="0" xfId="0" applyNumberFormat="1" applyFill="1" applyAlignment="1">
      <alignment vertical="center"/>
    </xf>
    <xf numFmtId="164" fontId="17" fillId="6" borderId="0" xfId="0" applyNumberFormat="1" applyFont="1" applyFill="1" applyAlignment="1">
      <alignment vertical="center"/>
    </xf>
    <xf numFmtId="164" fontId="11" fillId="6" borderId="21" xfId="0" applyNumberFormat="1" applyFont="1" applyFill="1" applyBorder="1" applyAlignment="1">
      <alignment horizontal="center" vertical="center"/>
    </xf>
    <xf numFmtId="1" fontId="20" fillId="6" borderId="21" xfId="0" applyNumberFormat="1" applyFont="1" applyFill="1" applyBorder="1" applyAlignment="1">
      <alignment horizontal="center" vertical="center"/>
    </xf>
    <xf numFmtId="164" fontId="11" fillId="6" borderId="3" xfId="0" applyNumberFormat="1" applyFont="1" applyFill="1" applyBorder="1" applyAlignment="1">
      <alignment vertical="center"/>
    </xf>
    <xf numFmtId="164" fontId="10" fillId="6" borderId="1" xfId="0" applyNumberFormat="1" applyFont="1" applyFill="1" applyBorder="1" applyAlignment="1">
      <alignment horizontal="right" vertical="center"/>
    </xf>
    <xf numFmtId="164" fontId="10" fillId="6" borderId="8" xfId="0" applyNumberFormat="1" applyFont="1" applyFill="1" applyBorder="1" applyAlignment="1">
      <alignment vertical="center"/>
    </xf>
    <xf numFmtId="164" fontId="11" fillId="6" borderId="11" xfId="0" applyNumberFormat="1" applyFont="1" applyFill="1" applyBorder="1" applyAlignment="1">
      <alignment vertical="center"/>
    </xf>
    <xf numFmtId="164" fontId="10" fillId="6" borderId="5" xfId="0" applyNumberFormat="1" applyFont="1" applyFill="1" applyBorder="1" applyAlignment="1">
      <alignment horizontal="right" vertical="center" wrapText="1"/>
    </xf>
    <xf numFmtId="164" fontId="10" fillId="6" borderId="1" xfId="0" applyNumberFormat="1" applyFont="1" applyFill="1" applyBorder="1" applyAlignment="1">
      <alignment horizontal="right" vertical="center" wrapText="1"/>
    </xf>
    <xf numFmtId="164" fontId="10" fillId="6" borderId="10" xfId="0" applyNumberFormat="1" applyFont="1" applyFill="1" applyBorder="1" applyAlignment="1">
      <alignment horizontal="right" vertical="center" wrapText="1"/>
    </xf>
    <xf numFmtId="164" fontId="10" fillId="6" borderId="10" xfId="0" applyNumberFormat="1" applyFont="1" applyFill="1" applyBorder="1" applyAlignment="1">
      <alignment vertical="center"/>
    </xf>
    <xf numFmtId="164" fontId="10" fillId="6" borderId="1" xfId="0" applyNumberFormat="1" applyFont="1" applyFill="1" applyBorder="1" applyAlignment="1">
      <alignment vertical="center"/>
    </xf>
    <xf numFmtId="164" fontId="10" fillId="6" borderId="11" xfId="0" applyNumberFormat="1" applyFont="1" applyFill="1" applyBorder="1" applyAlignment="1">
      <alignment vertical="center"/>
    </xf>
    <xf numFmtId="164" fontId="10" fillId="6" borderId="0" xfId="0" applyNumberFormat="1" applyFont="1" applyFill="1" applyAlignment="1">
      <alignment vertical="center"/>
    </xf>
    <xf numFmtId="164" fontId="10" fillId="6" borderId="11" xfId="0" applyNumberFormat="1" applyFont="1" applyFill="1" applyBorder="1" applyAlignment="1">
      <alignment horizontal="right" vertical="center" wrapText="1"/>
    </xf>
    <xf numFmtId="164" fontId="13" fillId="6" borderId="11" xfId="0" applyNumberFormat="1" applyFont="1" applyFill="1" applyBorder="1" applyAlignment="1">
      <alignment vertical="center"/>
    </xf>
    <xf numFmtId="164" fontId="10" fillId="6" borderId="1" xfId="0" applyNumberFormat="1" applyFont="1" applyFill="1" applyBorder="1" applyAlignment="1">
      <alignment vertical="center" wrapText="1"/>
    </xf>
    <xf numFmtId="164" fontId="10" fillId="6" borderId="3" xfId="0" applyNumberFormat="1" applyFont="1" applyFill="1" applyBorder="1" applyAlignment="1">
      <alignment vertical="center"/>
    </xf>
    <xf numFmtId="164" fontId="10" fillId="6" borderId="6" xfId="0" applyNumberFormat="1" applyFont="1" applyFill="1" applyBorder="1" applyAlignment="1">
      <alignment vertical="center"/>
    </xf>
    <xf numFmtId="164" fontId="10" fillId="6" borderId="7" xfId="0" applyNumberFormat="1" applyFont="1" applyFill="1" applyBorder="1" applyAlignment="1">
      <alignment vertical="center"/>
    </xf>
    <xf numFmtId="164" fontId="10" fillId="6" borderId="9" xfId="0" applyNumberFormat="1" applyFont="1" applyFill="1" applyBorder="1" applyAlignment="1">
      <alignment vertical="center"/>
    </xf>
    <xf numFmtId="164" fontId="11" fillId="6" borderId="7" xfId="0" applyNumberFormat="1" applyFont="1" applyFill="1" applyBorder="1" applyAlignment="1">
      <alignment vertical="center"/>
    </xf>
    <xf numFmtId="164" fontId="10" fillId="6" borderId="2" xfId="0" applyNumberFormat="1" applyFont="1" applyFill="1" applyBorder="1" applyAlignment="1">
      <alignment vertical="center"/>
    </xf>
    <xf numFmtId="164" fontId="10" fillId="6" borderId="5" xfId="0" applyNumberFormat="1" applyFont="1" applyFill="1" applyBorder="1" applyAlignment="1">
      <alignment vertical="center"/>
    </xf>
    <xf numFmtId="0" fontId="10" fillId="6" borderId="16" xfId="0" applyFont="1" applyFill="1" applyBorder="1" applyAlignment="1">
      <alignment horizontal="left" vertical="center" wrapText="1"/>
    </xf>
    <xf numFmtId="0" fontId="10" fillId="6" borderId="1" xfId="0" applyFont="1" applyFill="1" applyBorder="1" applyAlignment="1">
      <alignment vertical="center"/>
    </xf>
    <xf numFmtId="3" fontId="10" fillId="6" borderId="4" xfId="0" applyNumberFormat="1" applyFont="1" applyFill="1" applyBorder="1" applyAlignment="1">
      <alignment vertical="center"/>
    </xf>
    <xf numFmtId="3" fontId="10" fillId="6" borderId="24" xfId="0" applyNumberFormat="1" applyFont="1" applyFill="1" applyBorder="1" applyAlignment="1">
      <alignment vertical="center"/>
    </xf>
    <xf numFmtId="166" fontId="10" fillId="6" borderId="11" xfId="0" applyNumberFormat="1" applyFont="1" applyFill="1" applyBorder="1" applyAlignment="1">
      <alignment horizontal="right" vertical="center"/>
    </xf>
    <xf numFmtId="164" fontId="10" fillId="6" borderId="29" xfId="0" applyNumberFormat="1" applyFont="1" applyFill="1" applyBorder="1" applyAlignment="1">
      <alignment vertical="center"/>
    </xf>
    <xf numFmtId="164" fontId="10" fillId="6" borderId="0" xfId="0" applyNumberFormat="1" applyFont="1" applyFill="1" applyAlignment="1">
      <alignment horizontal="center" vertical="center"/>
    </xf>
    <xf numFmtId="0" fontId="10" fillId="6" borderId="0" xfId="0" applyFont="1" applyFill="1" applyAlignment="1">
      <alignment vertical="center"/>
    </xf>
    <xf numFmtId="169" fontId="30" fillId="0" borderId="0" xfId="0" applyNumberFormat="1" applyFont="1" applyAlignment="1">
      <alignment vertical="center"/>
    </xf>
    <xf numFmtId="164" fontId="71" fillId="0" borderId="0" xfId="0" applyNumberFormat="1" applyFont="1" applyAlignment="1">
      <alignment horizontal="center" vertical="center"/>
    </xf>
    <xf numFmtId="3" fontId="0" fillId="0" borderId="0" xfId="0" applyNumberFormat="1" applyAlignment="1">
      <alignment horizontal="left" vertical="center"/>
    </xf>
    <xf numFmtId="0" fontId="16" fillId="6" borderId="16" xfId="0" applyFont="1" applyFill="1" applyBorder="1" applyAlignment="1">
      <alignment horizontal="left" vertical="center" wrapText="1"/>
    </xf>
    <xf numFmtId="3" fontId="10" fillId="6" borderId="24" xfId="0" applyNumberFormat="1" applyFont="1" applyFill="1" applyBorder="1" applyAlignment="1">
      <alignment horizontal="right" vertical="center"/>
    </xf>
    <xf numFmtId="0" fontId="10" fillId="6" borderId="1" xfId="0" applyFont="1" applyFill="1" applyBorder="1" applyAlignment="1">
      <alignment vertical="center" wrapText="1"/>
    </xf>
    <xf numFmtId="0" fontId="10" fillId="6" borderId="16" xfId="0" applyFont="1" applyFill="1" applyBorder="1" applyAlignment="1">
      <alignment vertical="center" wrapText="1"/>
    </xf>
    <xf numFmtId="0" fontId="10" fillId="6" borderId="5" xfId="0" applyFont="1" applyFill="1" applyBorder="1" applyAlignment="1">
      <alignment horizontal="left" vertical="center" wrapText="1"/>
    </xf>
    <xf numFmtId="49" fontId="0" fillId="0" borderId="16" xfId="0" applyNumberFormat="1" applyBorder="1" applyAlignment="1">
      <alignment horizontal="center" vertical="center"/>
    </xf>
    <xf numFmtId="164" fontId="24" fillId="0" borderId="27" xfId="0" applyNumberFormat="1" applyFont="1" applyBorder="1" applyAlignment="1">
      <alignment vertical="center"/>
    </xf>
    <xf numFmtId="166" fontId="15" fillId="0" borderId="27" xfId="0" applyNumberFormat="1" applyFont="1" applyBorder="1" applyAlignment="1">
      <alignment vertical="center"/>
    </xf>
    <xf numFmtId="3" fontId="10" fillId="0" borderId="0" xfId="0" applyNumberFormat="1" applyFont="1" applyAlignment="1">
      <alignment vertical="center"/>
    </xf>
    <xf numFmtId="164" fontId="36" fillId="4" borderId="0" xfId="0" applyNumberFormat="1" applyFont="1" applyFill="1" applyAlignment="1">
      <alignment horizontal="center" vertical="center"/>
    </xf>
    <xf numFmtId="0" fontId="16" fillId="6" borderId="1" xfId="0" applyFont="1" applyFill="1" applyBorder="1" applyAlignment="1">
      <alignment vertical="center" wrapText="1"/>
    </xf>
    <xf numFmtId="0" fontId="10" fillId="6" borderId="1" xfId="0" applyFont="1" applyFill="1" applyBorder="1" applyAlignment="1" applyProtection="1">
      <alignment vertical="center" wrapText="1"/>
      <protection locked="0"/>
    </xf>
    <xf numFmtId="164" fontId="13" fillId="0" borderId="1" xfId="0" applyNumberFormat="1" applyFont="1" applyBorder="1" applyAlignment="1" applyProtection="1">
      <alignment vertical="center"/>
      <protection locked="0"/>
    </xf>
    <xf numFmtId="164" fontId="13" fillId="0" borderId="27" xfId="0" applyNumberFormat="1" applyFont="1" applyBorder="1" applyAlignment="1" applyProtection="1">
      <alignment vertical="center"/>
      <protection locked="0"/>
    </xf>
    <xf numFmtId="0" fontId="29" fillId="6" borderId="1" xfId="0" applyFont="1" applyFill="1" applyBorder="1" applyAlignment="1">
      <alignment vertical="center" wrapText="1"/>
    </xf>
    <xf numFmtId="0" fontId="29" fillId="8" borderId="1" xfId="0" applyFont="1" applyFill="1" applyBorder="1" applyAlignment="1">
      <alignment horizontal="center" vertical="center"/>
    </xf>
    <xf numFmtId="0" fontId="29" fillId="8" borderId="1" xfId="0" applyFont="1" applyFill="1" applyBorder="1" applyAlignment="1">
      <alignment horizontal="left" vertical="center" wrapText="1"/>
    </xf>
    <xf numFmtId="4" fontId="29" fillId="8" borderId="1" xfId="0" applyNumberFormat="1" applyFont="1" applyFill="1" applyBorder="1" applyAlignment="1">
      <alignment vertical="center"/>
    </xf>
    <xf numFmtId="0" fontId="29" fillId="8" borderId="1" xfId="0" applyFont="1" applyFill="1" applyBorder="1" applyAlignment="1">
      <alignment vertical="center"/>
    </xf>
    <xf numFmtId="4" fontId="29" fillId="8" borderId="4" xfId="0" applyNumberFormat="1" applyFont="1" applyFill="1" applyBorder="1" applyAlignment="1">
      <alignment vertical="center"/>
    </xf>
    <xf numFmtId="0" fontId="29" fillId="2" borderId="1" xfId="0" applyFont="1" applyFill="1" applyBorder="1" applyAlignment="1">
      <alignment horizontal="center" vertical="center"/>
    </xf>
    <xf numFmtId="0" fontId="29" fillId="2" borderId="1" xfId="0" applyFont="1" applyFill="1" applyBorder="1" applyAlignment="1">
      <alignment vertical="center" wrapText="1"/>
    </xf>
    <xf numFmtId="0" fontId="29" fillId="2" borderId="1" xfId="0" applyFont="1" applyFill="1" applyBorder="1" applyAlignment="1">
      <alignment horizontal="left" vertical="center" wrapText="1"/>
    </xf>
    <xf numFmtId="4" fontId="29" fillId="2" borderId="4" xfId="0" applyNumberFormat="1" applyFont="1" applyFill="1" applyBorder="1" applyAlignment="1">
      <alignment vertical="center"/>
    </xf>
    <xf numFmtId="0" fontId="29" fillId="2" borderId="1" xfId="0" applyFont="1" applyFill="1" applyBorder="1" applyAlignment="1">
      <alignment vertical="center"/>
    </xf>
    <xf numFmtId="0" fontId="83" fillId="2" borderId="1" xfId="0" applyFont="1" applyFill="1" applyBorder="1" applyAlignment="1">
      <alignment horizontal="center" vertical="center"/>
    </xf>
    <xf numFmtId="0" fontId="83" fillId="2" borderId="1" xfId="0" applyFont="1" applyFill="1" applyBorder="1" applyAlignment="1">
      <alignment vertical="center" wrapText="1"/>
    </xf>
    <xf numFmtId="0" fontId="83" fillId="2" borderId="1" xfId="0" applyFont="1" applyFill="1" applyBorder="1" applyAlignment="1">
      <alignment horizontal="left" vertical="center" wrapText="1"/>
    </xf>
    <xf numFmtId="0" fontId="83" fillId="2" borderId="1" xfId="0" applyFont="1" applyFill="1" applyBorder="1" applyAlignment="1">
      <alignment vertical="center"/>
    </xf>
    <xf numFmtId="4" fontId="83" fillId="8" borderId="4" xfId="0" applyNumberFormat="1" applyFont="1" applyFill="1" applyBorder="1" applyAlignment="1">
      <alignment vertical="center"/>
    </xf>
    <xf numFmtId="164" fontId="10" fillId="6" borderId="22" xfId="0" applyNumberFormat="1" applyFont="1" applyFill="1" applyBorder="1" applyAlignment="1">
      <alignment vertical="center"/>
    </xf>
    <xf numFmtId="0" fontId="0" fillId="0" borderId="30" xfId="0" applyBorder="1" applyAlignment="1">
      <alignment horizontal="center" vertical="center"/>
    </xf>
    <xf numFmtId="0" fontId="10" fillId="6" borderId="2" xfId="0" applyFont="1" applyFill="1" applyBorder="1" applyAlignment="1">
      <alignment vertical="center" wrapText="1"/>
    </xf>
    <xf numFmtId="0" fontId="0" fillId="0" borderId="24" xfId="0" applyBorder="1" applyAlignment="1">
      <alignment horizontal="center" vertical="center"/>
    </xf>
    <xf numFmtId="0" fontId="10" fillId="0" borderId="3" xfId="0" applyFont="1" applyBorder="1" applyAlignment="1">
      <alignment vertical="center" wrapText="1"/>
    </xf>
    <xf numFmtId="0" fontId="0" fillId="0" borderId="1" xfId="0" applyBorder="1" applyAlignment="1">
      <alignment horizontal="center" vertical="center"/>
    </xf>
    <xf numFmtId="0" fontId="16" fillId="6" borderId="1" xfId="0" applyFont="1" applyFill="1" applyBorder="1" applyAlignment="1">
      <alignment horizontal="left" vertical="center" wrapText="1"/>
    </xf>
    <xf numFmtId="164" fontId="72" fillId="4" borderId="0" xfId="0" applyNumberFormat="1" applyFont="1" applyFill="1" applyAlignment="1">
      <alignment horizontal="center" vertical="center"/>
    </xf>
    <xf numFmtId="0" fontId="11" fillId="6" borderId="24" xfId="0" applyFont="1" applyFill="1" applyBorder="1" applyAlignment="1">
      <alignment vertical="center" wrapText="1"/>
    </xf>
    <xf numFmtId="164" fontId="11" fillId="6" borderId="19" xfId="0" applyNumberFormat="1" applyFont="1" applyFill="1" applyBorder="1" applyAlignment="1">
      <alignment horizontal="center" vertical="center"/>
    </xf>
    <xf numFmtId="164" fontId="11" fillId="6" borderId="25" xfId="0" applyNumberFormat="1" applyFont="1" applyFill="1" applyBorder="1" applyAlignment="1">
      <alignment vertical="center"/>
    </xf>
    <xf numFmtId="0" fontId="11" fillId="6" borderId="16" xfId="0" applyFont="1" applyFill="1" applyBorder="1" applyAlignment="1">
      <alignment vertical="center" wrapText="1"/>
    </xf>
    <xf numFmtId="164" fontId="10" fillId="6" borderId="3" xfId="0" applyNumberFormat="1" applyFont="1" applyFill="1" applyBorder="1" applyAlignment="1">
      <alignment horizontal="center" vertical="center"/>
    </xf>
    <xf numFmtId="164" fontId="11" fillId="6" borderId="1" xfId="0" applyNumberFormat="1" applyFont="1" applyFill="1" applyBorder="1" applyAlignment="1">
      <alignment horizontal="right" vertical="center"/>
    </xf>
    <xf numFmtId="164" fontId="10" fillId="6" borderId="27" xfId="0" applyNumberFormat="1" applyFont="1" applyFill="1" applyBorder="1" applyAlignment="1">
      <alignment horizontal="right" vertical="center"/>
    </xf>
    <xf numFmtId="0" fontId="11" fillId="6" borderId="46" xfId="0" applyFont="1" applyFill="1" applyBorder="1" applyAlignment="1">
      <alignment vertical="center" wrapText="1"/>
    </xf>
    <xf numFmtId="0" fontId="10" fillId="6" borderId="6" xfId="0" applyFont="1" applyFill="1" applyBorder="1" applyAlignment="1">
      <alignment vertical="center"/>
    </xf>
    <xf numFmtId="164" fontId="10" fillId="6" borderId="28" xfId="0" applyNumberFormat="1" applyFont="1" applyFill="1" applyBorder="1" applyAlignment="1">
      <alignment vertical="center"/>
    </xf>
    <xf numFmtId="0" fontId="11" fillId="6" borderId="45" xfId="0" applyFont="1" applyFill="1" applyBorder="1" applyAlignment="1">
      <alignment vertical="center" wrapText="1"/>
    </xf>
    <xf numFmtId="0" fontId="10" fillId="6" borderId="7" xfId="0" applyFont="1" applyFill="1" applyBorder="1" applyAlignment="1">
      <alignment horizontal="center" vertical="center"/>
    </xf>
    <xf numFmtId="164" fontId="11" fillId="6" borderId="29" xfId="0" applyNumberFormat="1" applyFont="1" applyFill="1" applyBorder="1" applyAlignment="1">
      <alignment vertical="center"/>
    </xf>
    <xf numFmtId="0" fontId="10" fillId="6" borderId="7" xfId="0" applyFont="1" applyFill="1" applyBorder="1" applyAlignment="1">
      <alignment vertical="center"/>
    </xf>
    <xf numFmtId="0" fontId="10" fillId="6" borderId="24" xfId="0" applyFont="1" applyFill="1" applyBorder="1" applyAlignment="1">
      <alignment vertical="center"/>
    </xf>
    <xf numFmtId="0" fontId="10" fillId="6" borderId="11" xfId="0" applyFont="1" applyFill="1" applyBorder="1" applyAlignment="1">
      <alignment vertical="center"/>
    </xf>
    <xf numFmtId="164" fontId="10" fillId="6" borderId="11" xfId="0" applyNumberFormat="1" applyFont="1" applyFill="1" applyBorder="1" applyAlignment="1">
      <alignment horizontal="right" vertical="center"/>
    </xf>
    <xf numFmtId="164" fontId="10" fillId="6" borderId="26" xfId="0" applyNumberFormat="1" applyFont="1" applyFill="1" applyBorder="1" applyAlignment="1">
      <alignment horizontal="right" vertical="center" wrapText="1"/>
    </xf>
    <xf numFmtId="164" fontId="10" fillId="6" borderId="27" xfId="0" applyNumberFormat="1" applyFont="1" applyFill="1" applyBorder="1" applyAlignment="1">
      <alignment horizontal="right" vertical="center" wrapText="1"/>
    </xf>
    <xf numFmtId="164" fontId="10" fillId="6" borderId="3" xfId="0" applyNumberFormat="1" applyFont="1" applyFill="1" applyBorder="1" applyAlignment="1">
      <alignment horizontal="right" vertical="center" wrapText="1"/>
    </xf>
    <xf numFmtId="164" fontId="10" fillId="6" borderId="25" xfId="0" applyNumberFormat="1" applyFont="1" applyFill="1" applyBorder="1" applyAlignment="1">
      <alignment horizontal="right" vertical="center" wrapText="1"/>
    </xf>
    <xf numFmtId="164" fontId="10" fillId="6" borderId="25" xfId="0" applyNumberFormat="1" applyFont="1" applyFill="1" applyBorder="1" applyAlignment="1">
      <alignment vertical="center"/>
    </xf>
    <xf numFmtId="0" fontId="12" fillId="6" borderId="45" xfId="0" applyFont="1" applyFill="1" applyBorder="1" applyAlignment="1">
      <alignment vertical="center" wrapText="1"/>
    </xf>
    <xf numFmtId="0" fontId="11" fillId="6" borderId="44" xfId="0" applyFont="1" applyFill="1" applyBorder="1" applyAlignment="1">
      <alignment vertical="center" wrapText="1"/>
    </xf>
    <xf numFmtId="0" fontId="10" fillId="6" borderId="14" xfId="0" applyFont="1" applyFill="1" applyBorder="1" applyAlignment="1">
      <alignment vertical="center"/>
    </xf>
    <xf numFmtId="164" fontId="10" fillId="6" borderId="15" xfId="0" applyNumberFormat="1" applyFont="1" applyFill="1" applyBorder="1" applyAlignment="1">
      <alignment vertical="center"/>
    </xf>
    <xf numFmtId="164" fontId="10" fillId="6" borderId="12" xfId="0" applyNumberFormat="1" applyFont="1" applyFill="1" applyBorder="1" applyAlignment="1">
      <alignment vertical="center"/>
    </xf>
    <xf numFmtId="164" fontId="10" fillId="6" borderId="50" xfId="0" applyNumberFormat="1" applyFont="1" applyFill="1" applyBorder="1" applyAlignment="1">
      <alignment vertical="center"/>
    </xf>
    <xf numFmtId="166" fontId="10" fillId="6" borderId="7" xfId="0" applyNumberFormat="1" applyFont="1" applyFill="1" applyBorder="1" applyAlignment="1">
      <alignment vertical="center"/>
    </xf>
    <xf numFmtId="167" fontId="10" fillId="6" borderId="11" xfId="0" applyNumberFormat="1" applyFont="1" applyFill="1" applyBorder="1" applyAlignment="1">
      <alignment horizontal="right" vertical="center"/>
    </xf>
    <xf numFmtId="166" fontId="10" fillId="6" borderId="11" xfId="0" applyNumberFormat="1" applyFont="1" applyFill="1" applyBorder="1" applyAlignment="1">
      <alignment vertical="center"/>
    </xf>
    <xf numFmtId="164" fontId="10" fillId="6" borderId="29" xfId="0" applyNumberFormat="1" applyFont="1" applyFill="1" applyBorder="1" applyAlignment="1">
      <alignment horizontal="right" vertical="center" wrapText="1"/>
    </xf>
    <xf numFmtId="0" fontId="13" fillId="6" borderId="1" xfId="0" applyFont="1" applyFill="1" applyBorder="1" applyAlignment="1">
      <alignment vertical="center"/>
    </xf>
    <xf numFmtId="166" fontId="10" fillId="6" borderId="1" xfId="0" applyNumberFormat="1" applyFont="1" applyFill="1" applyBorder="1" applyAlignment="1">
      <alignment vertical="center"/>
    </xf>
    <xf numFmtId="164" fontId="10" fillId="6" borderId="27" xfId="0" applyNumberFormat="1" applyFont="1" applyFill="1" applyBorder="1" applyAlignment="1">
      <alignment vertical="center"/>
    </xf>
    <xf numFmtId="0" fontId="17" fillId="6" borderId="1" xfId="0" applyFont="1" applyFill="1" applyBorder="1" applyAlignment="1">
      <alignment horizontal="right" vertical="center" wrapText="1"/>
    </xf>
    <xf numFmtId="0" fontId="17" fillId="6" borderId="11" xfId="0" applyFont="1" applyFill="1" applyBorder="1" applyAlignment="1">
      <alignment horizontal="right" vertical="center" wrapText="1"/>
    </xf>
    <xf numFmtId="164" fontId="10" fillId="6" borderId="11" xfId="0" applyNumberFormat="1" applyFont="1" applyFill="1" applyBorder="1" applyAlignment="1">
      <alignment vertical="center" wrapText="1"/>
    </xf>
    <xf numFmtId="164" fontId="13" fillId="6" borderId="29" xfId="0" applyNumberFormat="1" applyFont="1" applyFill="1" applyBorder="1" applyAlignment="1">
      <alignment vertical="center"/>
    </xf>
    <xf numFmtId="0" fontId="10" fillId="6" borderId="11" xfId="0" applyFont="1" applyFill="1" applyBorder="1" applyAlignment="1">
      <alignment horizontal="right" vertical="center"/>
    </xf>
    <xf numFmtId="0" fontId="10" fillId="6" borderId="10" xfId="0" applyFont="1" applyFill="1" applyBorder="1" applyAlignment="1">
      <alignment vertical="center"/>
    </xf>
    <xf numFmtId="164" fontId="10" fillId="6" borderId="10" xfId="0" applyNumberFormat="1" applyFont="1" applyFill="1" applyBorder="1" applyAlignment="1">
      <alignment vertical="center" wrapText="1"/>
    </xf>
    <xf numFmtId="164" fontId="10" fillId="6" borderId="29" xfId="0" applyNumberFormat="1" applyFont="1" applyFill="1" applyBorder="1" applyAlignment="1">
      <alignment vertical="center" wrapText="1"/>
    </xf>
    <xf numFmtId="164" fontId="17" fillId="6" borderId="11" xfId="0" applyNumberFormat="1" applyFont="1" applyFill="1" applyBorder="1" applyAlignment="1">
      <alignment vertical="center"/>
    </xf>
    <xf numFmtId="164" fontId="17" fillId="6" borderId="7" xfId="0" applyNumberFormat="1" applyFont="1" applyFill="1" applyBorder="1" applyAlignment="1">
      <alignment vertical="center"/>
    </xf>
    <xf numFmtId="0" fontId="10" fillId="6" borderId="16" xfId="0" applyFont="1" applyFill="1" applyBorder="1" applyAlignment="1">
      <alignment vertical="center"/>
    </xf>
    <xf numFmtId="0" fontId="10" fillId="6" borderId="5" xfId="0" applyFont="1" applyFill="1" applyBorder="1" applyAlignment="1">
      <alignment vertical="center"/>
    </xf>
    <xf numFmtId="164" fontId="10" fillId="6" borderId="26" xfId="0" applyNumberFormat="1" applyFont="1" applyFill="1" applyBorder="1" applyAlignment="1">
      <alignment vertical="center"/>
    </xf>
    <xf numFmtId="0" fontId="10" fillId="6" borderId="2" xfId="0" applyFont="1" applyFill="1" applyBorder="1" applyAlignment="1">
      <alignment vertical="center"/>
    </xf>
    <xf numFmtId="0" fontId="10" fillId="6" borderId="8" xfId="0" applyFont="1" applyFill="1" applyBorder="1" applyAlignment="1">
      <alignment vertical="center"/>
    </xf>
    <xf numFmtId="164" fontId="11" fillId="6" borderId="9" xfId="0" applyNumberFormat="1" applyFont="1" applyFill="1" applyBorder="1" applyAlignment="1">
      <alignment horizontal="center" vertical="center" wrapText="1"/>
    </xf>
    <xf numFmtId="164" fontId="11" fillId="6" borderId="11" xfId="0" applyNumberFormat="1" applyFont="1" applyFill="1" applyBorder="1" applyAlignment="1">
      <alignment horizontal="center" vertical="center" wrapText="1"/>
    </xf>
    <xf numFmtId="0" fontId="10" fillId="6" borderId="3" xfId="0" applyFont="1" applyFill="1" applyBorder="1" applyAlignment="1">
      <alignment horizontal="center" vertical="center"/>
    </xf>
    <xf numFmtId="164" fontId="10" fillId="6" borderId="3" xfId="0" applyNumberFormat="1" applyFont="1" applyFill="1" applyBorder="1" applyAlignment="1">
      <alignment horizontal="right" vertical="center"/>
    </xf>
    <xf numFmtId="0" fontId="10" fillId="6" borderId="3" xfId="0" applyFont="1" applyFill="1" applyBorder="1" applyAlignment="1">
      <alignment horizontal="right" vertical="center"/>
    </xf>
    <xf numFmtId="0" fontId="10" fillId="6" borderId="45" xfId="0" applyFont="1" applyFill="1" applyBorder="1" applyAlignment="1">
      <alignment vertical="center" wrapText="1"/>
    </xf>
    <xf numFmtId="0" fontId="10" fillId="6" borderId="3" xfId="0" applyFont="1" applyFill="1" applyBorder="1" applyAlignment="1">
      <alignment vertical="center"/>
    </xf>
    <xf numFmtId="164" fontId="11" fillId="6" borderId="11" xfId="0" applyNumberFormat="1" applyFont="1" applyFill="1" applyBorder="1" applyAlignment="1">
      <alignment horizontal="center" vertical="center"/>
    </xf>
    <xf numFmtId="0" fontId="10" fillId="6" borderId="45" xfId="0" applyFont="1" applyFill="1" applyBorder="1" applyAlignment="1">
      <alignment vertical="center"/>
    </xf>
    <xf numFmtId="164" fontId="10" fillId="6" borderId="31" xfId="0" applyNumberFormat="1" applyFont="1" applyFill="1" applyBorder="1" applyAlignment="1">
      <alignment vertical="center"/>
    </xf>
    <xf numFmtId="0" fontId="10" fillId="6" borderId="4" xfId="0" applyFont="1" applyFill="1" applyBorder="1" applyAlignment="1">
      <alignment vertical="center"/>
    </xf>
    <xf numFmtId="0" fontId="10" fillId="6" borderId="30" xfId="0" applyFont="1" applyFill="1" applyBorder="1" applyAlignment="1">
      <alignment vertical="center" wrapText="1"/>
    </xf>
    <xf numFmtId="0" fontId="10" fillId="6" borderId="30" xfId="0" applyFont="1" applyFill="1" applyBorder="1" applyAlignment="1">
      <alignment vertical="center"/>
    </xf>
    <xf numFmtId="0" fontId="11" fillId="6" borderId="49" xfId="0" applyFont="1" applyFill="1" applyBorder="1" applyAlignment="1">
      <alignment vertical="center" wrapText="1"/>
    </xf>
    <xf numFmtId="0" fontId="10" fillId="6" borderId="12" xfId="0" applyFont="1" applyFill="1" applyBorder="1" applyAlignment="1">
      <alignment vertical="center"/>
    </xf>
    <xf numFmtId="3" fontId="10" fillId="6" borderId="1" xfId="0" applyNumberFormat="1" applyFont="1" applyFill="1" applyBorder="1" applyAlignment="1">
      <alignment vertical="center"/>
    </xf>
    <xf numFmtId="170" fontId="10" fillId="6" borderId="1" xfId="0" applyNumberFormat="1" applyFont="1" applyFill="1" applyBorder="1" applyAlignment="1">
      <alignment vertical="center"/>
    </xf>
    <xf numFmtId="170" fontId="10" fillId="6" borderId="4" xfId="0" applyNumberFormat="1" applyFont="1" applyFill="1" applyBorder="1" applyAlignment="1">
      <alignment vertical="center"/>
    </xf>
    <xf numFmtId="3" fontId="10" fillId="6" borderId="16" xfId="0" applyNumberFormat="1" applyFont="1" applyFill="1" applyBorder="1" applyAlignment="1">
      <alignment vertical="center"/>
    </xf>
    <xf numFmtId="167" fontId="10" fillId="6" borderId="11" xfId="0" applyNumberFormat="1" applyFont="1" applyFill="1" applyBorder="1" applyAlignment="1">
      <alignment vertical="center"/>
    </xf>
    <xf numFmtId="0" fontId="10" fillId="6" borderId="32" xfId="0" applyFont="1" applyFill="1" applyBorder="1" applyAlignment="1">
      <alignment vertical="center" wrapText="1"/>
    </xf>
    <xf numFmtId="0" fontId="10" fillId="6" borderId="22" xfId="0" applyFont="1" applyFill="1" applyBorder="1" applyAlignment="1">
      <alignment vertical="center"/>
    </xf>
    <xf numFmtId="0" fontId="10" fillId="6" borderId="40" xfId="0" applyFont="1" applyFill="1" applyBorder="1" applyAlignment="1">
      <alignment vertical="center"/>
    </xf>
    <xf numFmtId="0" fontId="10" fillId="6" borderId="32" xfId="0" applyFont="1" applyFill="1" applyBorder="1" applyAlignment="1">
      <alignment vertical="center"/>
    </xf>
    <xf numFmtId="164" fontId="10" fillId="6" borderId="23" xfId="0" applyNumberFormat="1" applyFont="1" applyFill="1" applyBorder="1" applyAlignment="1">
      <alignment vertical="center"/>
    </xf>
    <xf numFmtId="0" fontId="13" fillId="6" borderId="0" xfId="0" applyFont="1" applyFill="1" applyAlignment="1">
      <alignment vertical="center"/>
    </xf>
    <xf numFmtId="3" fontId="13" fillId="6" borderId="0" xfId="0" applyNumberFormat="1" applyFont="1" applyFill="1" applyAlignment="1">
      <alignment vertical="center"/>
    </xf>
    <xf numFmtId="166" fontId="13" fillId="6" borderId="0" xfId="0" applyNumberFormat="1" applyFont="1" applyFill="1" applyAlignment="1">
      <alignment vertical="center"/>
    </xf>
    <xf numFmtId="164" fontId="13" fillId="6" borderId="0" xfId="0" applyNumberFormat="1" applyFont="1" applyFill="1" applyAlignment="1">
      <alignment vertical="center"/>
    </xf>
    <xf numFmtId="0" fontId="44" fillId="6" borderId="0" xfId="0" applyFont="1" applyFill="1" applyAlignment="1">
      <alignment vertical="center"/>
    </xf>
    <xf numFmtId="0" fontId="45" fillId="6" borderId="0" xfId="0" applyFont="1" applyFill="1" applyAlignment="1">
      <alignment vertical="center"/>
    </xf>
    <xf numFmtId="164" fontId="44" fillId="6" borderId="0" xfId="0" applyNumberFormat="1" applyFont="1" applyFill="1" applyAlignment="1">
      <alignment horizontal="left" vertical="center"/>
    </xf>
    <xf numFmtId="0" fontId="18" fillId="6" borderId="0" xfId="0" applyFont="1" applyFill="1" applyAlignment="1">
      <alignment vertical="center"/>
    </xf>
    <xf numFmtId="0" fontId="19" fillId="6" borderId="0" xfId="0" applyFont="1" applyFill="1" applyAlignment="1">
      <alignment vertical="center"/>
    </xf>
    <xf numFmtId="0" fontId="18" fillId="6" borderId="0" xfId="0" applyFont="1" applyFill="1" applyAlignment="1">
      <alignment horizontal="center" vertical="center"/>
    </xf>
    <xf numFmtId="164" fontId="17" fillId="6" borderId="0" xfId="0" applyNumberFormat="1" applyFont="1" applyFill="1" applyAlignment="1">
      <alignment horizontal="center" vertical="center"/>
    </xf>
    <xf numFmtId="3" fontId="11" fillId="6" borderId="44" xfId="0" applyNumberFormat="1" applyFont="1" applyFill="1" applyBorder="1" applyAlignment="1">
      <alignment vertical="center"/>
    </xf>
    <xf numFmtId="0" fontId="11" fillId="6" borderId="15" xfId="0" applyFont="1" applyFill="1" applyBorder="1" applyAlignment="1">
      <alignment vertical="center"/>
    </xf>
    <xf numFmtId="167" fontId="11" fillId="6" borderId="45" xfId="0" applyNumberFormat="1" applyFont="1" applyFill="1" applyBorder="1" applyAlignment="1">
      <alignment vertical="center"/>
    </xf>
    <xf numFmtId="0" fontId="11" fillId="6" borderId="11" xfId="0" applyFont="1" applyFill="1" applyBorder="1" applyAlignment="1">
      <alignment vertical="center"/>
    </xf>
    <xf numFmtId="166" fontId="11" fillId="6" borderId="45" xfId="0" applyNumberFormat="1" applyFont="1" applyFill="1" applyBorder="1" applyAlignment="1">
      <alignment vertical="center"/>
    </xf>
    <xf numFmtId="0" fontId="10" fillId="6" borderId="1" xfId="0" applyFont="1" applyFill="1" applyBorder="1" applyAlignment="1">
      <alignment horizontal="center" vertical="center"/>
    </xf>
    <xf numFmtId="0" fontId="10" fillId="6" borderId="10" xfId="0" applyFont="1" applyFill="1" applyBorder="1" applyAlignment="1">
      <alignment horizontal="center" vertical="center"/>
    </xf>
    <xf numFmtId="0" fontId="25" fillId="6" borderId="16" xfId="0" applyFont="1" applyFill="1" applyBorder="1" applyAlignment="1">
      <alignment vertical="center"/>
    </xf>
    <xf numFmtId="0" fontId="25" fillId="6" borderId="1" xfId="0" applyFont="1" applyFill="1" applyBorder="1" applyAlignment="1">
      <alignment vertical="center"/>
    </xf>
    <xf numFmtId="3" fontId="11" fillId="6" borderId="14" xfId="0" applyNumberFormat="1" applyFont="1" applyFill="1" applyBorder="1" applyAlignment="1">
      <alignment vertical="center"/>
    </xf>
    <xf numFmtId="0" fontId="11" fillId="6" borderId="15" xfId="0" applyFont="1" applyFill="1" applyBorder="1" applyAlignment="1">
      <alignment horizontal="left" vertical="center"/>
    </xf>
    <xf numFmtId="166" fontId="11" fillId="6" borderId="7" xfId="0" applyNumberFormat="1" applyFont="1" applyFill="1" applyBorder="1" applyAlignment="1">
      <alignment vertical="center"/>
    </xf>
    <xf numFmtId="0" fontId="11" fillId="6" borderId="11" xfId="0" applyFont="1" applyFill="1" applyBorder="1" applyAlignment="1">
      <alignment horizontal="left" vertical="center"/>
    </xf>
    <xf numFmtId="164" fontId="37" fillId="4" borderId="0" xfId="0" applyNumberFormat="1" applyFont="1" applyFill="1" applyAlignment="1">
      <alignment horizontal="center" vertical="center"/>
    </xf>
    <xf numFmtId="0" fontId="0" fillId="0" borderId="11" xfId="0" applyBorder="1" applyAlignment="1">
      <alignment horizontal="center" vertical="center"/>
    </xf>
    <xf numFmtId="0" fontId="10" fillId="6" borderId="3" xfId="0" applyFont="1" applyFill="1" applyBorder="1" applyAlignment="1">
      <alignment vertical="center" wrapText="1"/>
    </xf>
    <xf numFmtId="164" fontId="44" fillId="6" borderId="0" xfId="0" applyNumberFormat="1" applyFont="1" applyFill="1" applyAlignment="1">
      <alignment horizontal="right" vertical="center"/>
    </xf>
    <xf numFmtId="164" fontId="13" fillId="0" borderId="0" xfId="0" applyNumberFormat="1" applyFont="1" applyBorder="1" applyAlignment="1">
      <alignment vertical="center"/>
    </xf>
    <xf numFmtId="0" fontId="16" fillId="0" borderId="45" xfId="0" applyFont="1" applyBorder="1" applyAlignment="1">
      <alignment vertical="center" wrapText="1"/>
    </xf>
    <xf numFmtId="164" fontId="15" fillId="6" borderId="1" xfId="0" applyNumberFormat="1" applyFont="1" applyFill="1" applyBorder="1" applyAlignment="1">
      <alignment vertical="center"/>
    </xf>
    <xf numFmtId="164" fontId="13" fillId="6" borderId="11" xfId="0" applyNumberFormat="1" applyFont="1" applyFill="1" applyBorder="1" applyAlignment="1">
      <alignment horizontal="right" vertical="center" wrapText="1"/>
    </xf>
    <xf numFmtId="164" fontId="13" fillId="6" borderId="1" xfId="0" applyNumberFormat="1" applyFont="1" applyFill="1" applyBorder="1" applyAlignment="1">
      <alignment horizontal="right" vertical="center"/>
    </xf>
    <xf numFmtId="164" fontId="13" fillId="6" borderId="27" xfId="0" applyNumberFormat="1" applyFont="1" applyFill="1" applyBorder="1" applyAlignment="1">
      <alignment vertical="center"/>
    </xf>
    <xf numFmtId="164" fontId="13" fillId="6" borderId="5" xfId="0" applyNumberFormat="1" applyFont="1" applyFill="1" applyBorder="1" applyAlignment="1">
      <alignment vertical="center"/>
    </xf>
    <xf numFmtId="164" fontId="13" fillId="0" borderId="5" xfId="0" applyNumberFormat="1" applyFont="1" applyBorder="1" applyAlignment="1">
      <alignment vertical="center"/>
    </xf>
    <xf numFmtId="164" fontId="13" fillId="0" borderId="11" xfId="0" applyNumberFormat="1" applyFont="1" applyBorder="1" applyAlignment="1">
      <alignment horizontal="right" vertical="center"/>
    </xf>
    <xf numFmtId="164" fontId="36" fillId="6" borderId="0" xfId="0" applyNumberFormat="1" applyFont="1" applyFill="1" applyAlignment="1">
      <alignment horizontal="center" vertical="center"/>
    </xf>
    <xf numFmtId="164" fontId="38" fillId="9" borderId="0" xfId="0" applyNumberFormat="1" applyFont="1" applyFill="1" applyAlignment="1">
      <alignment horizontal="center" vertical="center"/>
    </xf>
    <xf numFmtId="164" fontId="14" fillId="6" borderId="1" xfId="0" applyNumberFormat="1" applyFont="1" applyFill="1" applyBorder="1" applyAlignment="1">
      <alignment horizontal="right" vertical="center"/>
    </xf>
    <xf numFmtId="164" fontId="14" fillId="6" borderId="27" xfId="0" applyNumberFormat="1" applyFont="1" applyFill="1" applyBorder="1" applyAlignment="1">
      <alignment horizontal="right" vertical="center"/>
    </xf>
    <xf numFmtId="164" fontId="14" fillId="6" borderId="1" xfId="0" applyNumberFormat="1" applyFont="1" applyFill="1" applyBorder="1" applyAlignment="1">
      <alignment vertical="center"/>
    </xf>
    <xf numFmtId="164" fontId="14" fillId="6" borderId="27" xfId="0" applyNumberFormat="1" applyFont="1" applyFill="1" applyBorder="1" applyAlignment="1">
      <alignment vertical="center"/>
    </xf>
    <xf numFmtId="49" fontId="1" fillId="0" borderId="16" xfId="0" applyNumberFormat="1" applyFont="1" applyBorder="1" applyAlignment="1">
      <alignment horizontal="center" vertical="center"/>
    </xf>
    <xf numFmtId="0" fontId="28" fillId="0" borderId="1" xfId="0" applyFont="1" applyBorder="1" applyAlignment="1">
      <alignment vertical="center" wrapText="1"/>
    </xf>
    <xf numFmtId="0" fontId="10" fillId="6" borderId="1" xfId="0" applyFont="1" applyFill="1" applyBorder="1"/>
    <xf numFmtId="164" fontId="29" fillId="6" borderId="1" xfId="0" applyNumberFormat="1" applyFont="1" applyFill="1" applyBorder="1" applyAlignment="1">
      <alignment vertical="center"/>
    </xf>
    <xf numFmtId="0" fontId="10" fillId="6" borderId="12" xfId="0" applyFont="1" applyFill="1" applyBorder="1" applyAlignment="1">
      <alignment horizontal="center" vertical="center" wrapText="1"/>
    </xf>
    <xf numFmtId="0" fontId="0" fillId="6" borderId="12" xfId="0" applyFill="1" applyBorder="1" applyAlignment="1">
      <alignment vertical="center"/>
    </xf>
    <xf numFmtId="0" fontId="18" fillId="0" borderId="0" xfId="0" applyFont="1" applyAlignment="1">
      <alignment horizontal="center" vertical="center"/>
    </xf>
    <xf numFmtId="164" fontId="11" fillId="6" borderId="12" xfId="0" applyNumberFormat="1" applyFont="1" applyFill="1" applyBorder="1" applyAlignment="1">
      <alignment vertical="center"/>
    </xf>
    <xf numFmtId="164" fontId="0" fillId="6" borderId="12" xfId="0" applyNumberFormat="1" applyFill="1" applyBorder="1" applyAlignment="1">
      <alignment vertical="center"/>
    </xf>
    <xf numFmtId="164" fontId="0" fillId="6" borderId="3" xfId="0" applyNumberFormat="1" applyFill="1" applyBorder="1" applyAlignment="1">
      <alignment vertical="center"/>
    </xf>
    <xf numFmtId="164" fontId="11" fillId="6" borderId="12" xfId="0" applyNumberFormat="1" applyFont="1" applyFill="1" applyBorder="1" applyAlignment="1">
      <alignment horizontal="right" vertical="center"/>
    </xf>
    <xf numFmtId="164" fontId="0" fillId="6" borderId="12" xfId="0" applyNumberFormat="1" applyFill="1" applyBorder="1" applyAlignment="1">
      <alignment horizontal="right" vertical="center"/>
    </xf>
    <xf numFmtId="164" fontId="0" fillId="6" borderId="3" xfId="0" applyNumberFormat="1" applyFill="1" applyBorder="1" applyAlignment="1">
      <alignment horizontal="right" vertical="center"/>
    </xf>
    <xf numFmtId="164" fontId="11" fillId="6" borderId="12" xfId="0" applyNumberFormat="1" applyFont="1" applyFill="1" applyBorder="1" applyAlignment="1">
      <alignment horizontal="center" vertical="center"/>
    </xf>
    <xf numFmtId="164" fontId="0" fillId="6" borderId="12" xfId="0" applyNumberFormat="1" applyFill="1" applyBorder="1" applyAlignment="1">
      <alignment horizontal="center" vertical="center"/>
    </xf>
    <xf numFmtId="164" fontId="0" fillId="6" borderId="3" xfId="0" applyNumberFormat="1" applyFill="1" applyBorder="1" applyAlignment="1">
      <alignment horizontal="center" vertical="center"/>
    </xf>
    <xf numFmtId="0" fontId="11" fillId="6" borderId="44" xfId="0" applyFont="1" applyFill="1" applyBorder="1" applyAlignment="1">
      <alignment horizontal="center" vertical="center" wrapText="1"/>
    </xf>
    <xf numFmtId="0" fontId="25" fillId="6" borderId="15" xfId="0" applyFont="1" applyFill="1" applyBorder="1" applyAlignment="1">
      <alignment vertical="center"/>
    </xf>
    <xf numFmtId="0" fontId="25" fillId="6" borderId="44" xfId="0" applyFont="1" applyFill="1" applyBorder="1" applyAlignment="1">
      <alignment vertical="center"/>
    </xf>
    <xf numFmtId="0" fontId="10" fillId="6" borderId="48" xfId="0" applyFont="1" applyFill="1" applyBorder="1" applyAlignment="1">
      <alignment vertical="center" wrapText="1"/>
    </xf>
    <xf numFmtId="0" fontId="25" fillId="6" borderId="13" xfId="0" applyFont="1" applyFill="1" applyBorder="1" applyAlignment="1">
      <alignment vertical="center"/>
    </xf>
    <xf numFmtId="0" fontId="25" fillId="6" borderId="10" xfId="0" applyFont="1" applyFill="1" applyBorder="1" applyAlignment="1">
      <alignment vertical="center"/>
    </xf>
    <xf numFmtId="0" fontId="25" fillId="6" borderId="29" xfId="0" applyFont="1" applyFill="1" applyBorder="1" applyAlignment="1">
      <alignment vertical="center"/>
    </xf>
    <xf numFmtId="164" fontId="10" fillId="6" borderId="4" xfId="0" applyNumberFormat="1" applyFont="1" applyFill="1" applyBorder="1" applyAlignment="1">
      <alignment vertical="center"/>
    </xf>
    <xf numFmtId="164" fontId="25" fillId="6" borderId="13" xfId="0" applyNumberFormat="1" applyFont="1" applyFill="1" applyBorder="1" applyAlignment="1">
      <alignment vertical="center"/>
    </xf>
    <xf numFmtId="164" fontId="25" fillId="6" borderId="26" xfId="0" applyNumberFormat="1" applyFont="1" applyFill="1" applyBorder="1" applyAlignment="1">
      <alignment vertical="center"/>
    </xf>
    <xf numFmtId="0" fontId="25" fillId="6" borderId="26" xfId="0" applyFont="1" applyFill="1" applyBorder="1" applyAlignment="1">
      <alignment vertical="center"/>
    </xf>
    <xf numFmtId="164" fontId="44" fillId="0" borderId="0" xfId="0" applyNumberFormat="1" applyFont="1" applyAlignment="1">
      <alignment horizontal="center" vertical="center"/>
    </xf>
    <xf numFmtId="164" fontId="46" fillId="0" borderId="0" xfId="0" applyNumberFormat="1" applyFont="1" applyAlignment="1">
      <alignment vertical="center"/>
    </xf>
    <xf numFmtId="0" fontId="25" fillId="6" borderId="12" xfId="0" applyFont="1" applyFill="1" applyBorder="1" applyAlignment="1">
      <alignment horizontal="center" vertical="center" wrapText="1"/>
    </xf>
    <xf numFmtId="0" fontId="25" fillId="6" borderId="3" xfId="0" applyFont="1" applyFill="1" applyBorder="1" applyAlignment="1">
      <alignment horizontal="center" vertical="center" wrapText="1"/>
    </xf>
    <xf numFmtId="0" fontId="10" fillId="6" borderId="12" xfId="0" applyFont="1" applyFill="1" applyBorder="1" applyAlignment="1">
      <alignment horizontal="center" vertical="center"/>
    </xf>
    <xf numFmtId="0" fontId="25" fillId="6" borderId="12" xfId="0" applyFont="1" applyFill="1" applyBorder="1" applyAlignment="1">
      <alignment horizontal="center" vertical="center"/>
    </xf>
    <xf numFmtId="0" fontId="25" fillId="6" borderId="3" xfId="0" applyFont="1" applyFill="1" applyBorder="1" applyAlignment="1">
      <alignment horizontal="center" vertical="center"/>
    </xf>
    <xf numFmtId="0" fontId="10" fillId="6" borderId="14" xfId="0" applyFont="1" applyFill="1" applyBorder="1" applyAlignment="1">
      <alignment horizontal="center" vertical="center"/>
    </xf>
    <xf numFmtId="0" fontId="25" fillId="6" borderId="14" xfId="0" applyFont="1" applyFill="1" applyBorder="1" applyAlignment="1">
      <alignment horizontal="center" vertical="center"/>
    </xf>
    <xf numFmtId="0" fontId="25" fillId="6" borderId="7" xfId="0" applyFont="1" applyFill="1" applyBorder="1" applyAlignment="1">
      <alignment horizontal="center" vertical="center"/>
    </xf>
    <xf numFmtId="0" fontId="10" fillId="6" borderId="41" xfId="0" applyFont="1" applyFill="1" applyBorder="1" applyAlignment="1">
      <alignment horizontal="center" vertical="center"/>
    </xf>
    <xf numFmtId="0" fontId="25" fillId="6" borderId="33" xfId="0" applyFont="1" applyFill="1" applyBorder="1" applyAlignment="1">
      <alignment horizontal="center" vertical="center"/>
    </xf>
    <xf numFmtId="0" fontId="25" fillId="6" borderId="44" xfId="0" applyFont="1" applyFill="1" applyBorder="1" applyAlignment="1">
      <alignment horizontal="center" vertical="center"/>
    </xf>
    <xf numFmtId="0" fontId="25" fillId="6" borderId="15" xfId="0" applyFont="1" applyFill="1" applyBorder="1" applyAlignment="1">
      <alignment horizontal="center" vertical="center"/>
    </xf>
    <xf numFmtId="0" fontId="25" fillId="6" borderId="45" xfId="0" applyFont="1" applyFill="1" applyBorder="1" applyAlignment="1">
      <alignment horizontal="center" vertical="center"/>
    </xf>
    <xf numFmtId="0" fontId="25" fillId="6" borderId="11" xfId="0" applyFont="1" applyFill="1" applyBorder="1" applyAlignment="1">
      <alignment horizontal="center" vertical="center"/>
    </xf>
    <xf numFmtId="0" fontId="22" fillId="0" borderId="0" xfId="0" applyFont="1" applyAlignment="1">
      <alignment horizontal="center" vertical="center"/>
    </xf>
    <xf numFmtId="0" fontId="23" fillId="0" borderId="0" xfId="0" applyFont="1" applyAlignment="1">
      <alignment horizontal="center" vertical="center"/>
    </xf>
    <xf numFmtId="0" fontId="44" fillId="6" borderId="0" xfId="0" applyFont="1" applyFill="1" applyAlignment="1">
      <alignment horizontal="left" vertical="center"/>
    </xf>
    <xf numFmtId="0" fontId="11" fillId="6" borderId="46" xfId="0" applyFont="1" applyFill="1" applyBorder="1" applyAlignment="1">
      <alignment horizontal="center" vertical="center" wrapText="1"/>
    </xf>
    <xf numFmtId="0" fontId="26" fillId="6" borderId="9" xfId="0" applyFont="1" applyFill="1" applyBorder="1" applyAlignment="1">
      <alignment horizontal="center" vertical="center" wrapText="1"/>
    </xf>
    <xf numFmtId="0" fontId="26" fillId="6" borderId="45" xfId="0" applyFont="1" applyFill="1" applyBorder="1" applyAlignment="1">
      <alignment horizontal="center" vertical="center" wrapText="1"/>
    </xf>
    <xf numFmtId="0" fontId="26" fillId="6" borderId="11" xfId="0" applyFont="1" applyFill="1" applyBorder="1" applyAlignment="1">
      <alignment horizontal="center" vertical="center" wrapText="1"/>
    </xf>
    <xf numFmtId="0" fontId="10" fillId="6" borderId="46" xfId="0" applyFont="1" applyFill="1" applyBorder="1" applyAlignment="1">
      <alignment vertical="center"/>
    </xf>
    <xf numFmtId="0" fontId="25" fillId="6" borderId="9" xfId="0" applyFont="1" applyFill="1" applyBorder="1" applyAlignment="1">
      <alignment vertical="center"/>
    </xf>
    <xf numFmtId="0" fontId="25" fillId="6" borderId="45" xfId="0" applyFont="1" applyFill="1" applyBorder="1" applyAlignment="1">
      <alignment vertical="center"/>
    </xf>
    <xf numFmtId="0" fontId="25" fillId="6" borderId="11" xfId="0" applyFont="1" applyFill="1" applyBorder="1" applyAlignment="1">
      <alignment vertical="center"/>
    </xf>
    <xf numFmtId="0" fontId="11" fillId="6" borderId="6" xfId="0" applyFont="1" applyFill="1" applyBorder="1" applyAlignment="1">
      <alignment horizontal="center" vertical="center" wrapText="1"/>
    </xf>
    <xf numFmtId="0" fontId="25" fillId="6" borderId="14" xfId="0" applyFont="1" applyFill="1" applyBorder="1" applyAlignment="1">
      <alignment vertical="center"/>
    </xf>
    <xf numFmtId="0" fontId="25" fillId="6" borderId="8" xfId="0" applyFont="1" applyFill="1" applyBorder="1" applyAlignment="1">
      <alignment vertical="center"/>
    </xf>
    <xf numFmtId="164" fontId="44" fillId="6" borderId="0" xfId="0" applyNumberFormat="1" applyFont="1" applyFill="1" applyAlignment="1">
      <alignment horizontal="left" vertical="center"/>
    </xf>
    <xf numFmtId="0" fontId="10" fillId="6" borderId="2" xfId="0" applyFont="1" applyFill="1" applyBorder="1" applyAlignment="1">
      <alignment horizontal="center" vertical="center"/>
    </xf>
    <xf numFmtId="0" fontId="11" fillId="6" borderId="49" xfId="0" applyFont="1" applyFill="1" applyBorder="1" applyAlignment="1">
      <alignment vertical="center" wrapText="1"/>
    </xf>
    <xf numFmtId="0" fontId="0" fillId="6" borderId="49" xfId="0" applyFill="1" applyBorder="1" applyAlignment="1">
      <alignment vertical="center" wrapText="1"/>
    </xf>
    <xf numFmtId="0" fontId="0" fillId="6" borderId="24" xfId="0" applyFill="1" applyBorder="1" applyAlignment="1">
      <alignment vertical="center" wrapText="1"/>
    </xf>
    <xf numFmtId="0" fontId="10" fillId="6" borderId="2" xfId="0" applyFont="1" applyFill="1" applyBorder="1" applyAlignment="1">
      <alignment horizontal="center" vertical="center" wrapText="1"/>
    </xf>
    <xf numFmtId="0" fontId="0" fillId="6" borderId="12" xfId="0" applyFill="1" applyBorder="1" applyAlignment="1">
      <alignment horizontal="center" vertical="center" wrapText="1"/>
    </xf>
    <xf numFmtId="0" fontId="0" fillId="6" borderId="3" xfId="0" applyFill="1" applyBorder="1" applyAlignment="1">
      <alignment horizontal="center" vertical="center" wrapText="1"/>
    </xf>
    <xf numFmtId="0" fontId="0" fillId="6" borderId="12" xfId="0" applyFill="1" applyBorder="1" applyAlignment="1">
      <alignment horizontal="center" vertical="center"/>
    </xf>
    <xf numFmtId="0" fontId="0" fillId="6" borderId="3" xfId="0" applyFill="1" applyBorder="1" applyAlignment="1">
      <alignment horizontal="center" vertical="center"/>
    </xf>
    <xf numFmtId="164" fontId="11" fillId="6" borderId="50" xfId="0" applyNumberFormat="1" applyFont="1" applyFill="1" applyBorder="1" applyAlignment="1">
      <alignment vertical="center"/>
    </xf>
    <xf numFmtId="164" fontId="0" fillId="6" borderId="50" xfId="0" applyNumberFormat="1" applyFill="1" applyBorder="1" applyAlignment="1">
      <alignment vertical="center"/>
    </xf>
    <xf numFmtId="164" fontId="0" fillId="6" borderId="25" xfId="0" applyNumberFormat="1" applyFill="1" applyBorder="1" applyAlignment="1">
      <alignment vertical="center"/>
    </xf>
    <xf numFmtId="0" fontId="14" fillId="6" borderId="46" xfId="0" applyFont="1" applyFill="1" applyBorder="1" applyAlignment="1">
      <alignment horizontal="center" vertical="center" wrapText="1"/>
    </xf>
    <xf numFmtId="0" fontId="68" fillId="6" borderId="9" xfId="0" applyFont="1" applyFill="1" applyBorder="1" applyAlignment="1">
      <alignment horizontal="center" vertical="center" wrapText="1"/>
    </xf>
    <xf numFmtId="0" fontId="68" fillId="6" borderId="45" xfId="0" applyFont="1" applyFill="1" applyBorder="1" applyAlignment="1">
      <alignment horizontal="center" vertical="center" wrapText="1"/>
    </xf>
    <xf numFmtId="0" fontId="68" fillId="6" borderId="11" xfId="0" applyFont="1" applyFill="1" applyBorder="1" applyAlignment="1">
      <alignment horizontal="center" vertical="center" wrapText="1"/>
    </xf>
    <xf numFmtId="0" fontId="10" fillId="6" borderId="14" xfId="0" applyFont="1" applyFill="1" applyBorder="1" applyAlignment="1">
      <alignment horizontal="center" vertical="center" wrapText="1"/>
    </xf>
    <xf numFmtId="0" fontId="0" fillId="6" borderId="14" xfId="0" applyFill="1" applyBorder="1" applyAlignment="1">
      <alignment horizontal="center" vertical="center" wrapText="1"/>
    </xf>
    <xf numFmtId="0" fontId="0" fillId="6" borderId="7" xfId="0" applyFill="1" applyBorder="1" applyAlignment="1">
      <alignment horizontal="center" vertical="center" wrapText="1"/>
    </xf>
    <xf numFmtId="0" fontId="11" fillId="0" borderId="47" xfId="0" applyFont="1" applyBorder="1" applyAlignment="1">
      <alignment horizontal="center" vertical="center" wrapText="1"/>
    </xf>
    <xf numFmtId="0" fontId="11" fillId="0" borderId="43" xfId="0" applyFont="1" applyBorder="1" applyAlignment="1">
      <alignment vertical="center"/>
    </xf>
    <xf numFmtId="0" fontId="11" fillId="0" borderId="17" xfId="0" applyFont="1" applyBorder="1" applyAlignment="1">
      <alignment horizontal="center" vertical="center" wrapText="1"/>
    </xf>
    <xf numFmtId="0" fontId="11" fillId="0" borderId="21" xfId="0" applyFont="1" applyBorder="1" applyAlignment="1">
      <alignment vertical="center"/>
    </xf>
    <xf numFmtId="0" fontId="11" fillId="0" borderId="18" xfId="0" applyFont="1" applyBorder="1" applyAlignment="1">
      <alignment horizontal="center" vertical="center" wrapText="1"/>
    </xf>
    <xf numFmtId="0" fontId="11" fillId="0" borderId="38" xfId="0" applyFont="1" applyBorder="1" applyAlignment="1">
      <alignment horizontal="center" vertical="center" wrapText="1"/>
    </xf>
    <xf numFmtId="0" fontId="11" fillId="0" borderId="41" xfId="0" applyFont="1" applyBorder="1" applyAlignment="1">
      <alignment horizontal="center" vertical="center" wrapText="1"/>
    </xf>
    <xf numFmtId="0" fontId="0" fillId="0" borderId="33" xfId="0" applyBorder="1" applyAlignment="1">
      <alignment horizontal="center" vertical="center" wrapText="1"/>
    </xf>
    <xf numFmtId="0" fontId="0" fillId="0" borderId="42" xfId="0" applyBorder="1" applyAlignment="1">
      <alignment vertical="center"/>
    </xf>
    <xf numFmtId="0" fontId="0" fillId="0" borderId="35" xfId="0" applyBorder="1" applyAlignment="1">
      <alignment vertical="center"/>
    </xf>
    <xf numFmtId="164" fontId="11" fillId="0" borderId="18" xfId="0" applyNumberFormat="1" applyFont="1" applyBorder="1" applyAlignment="1">
      <alignment horizontal="center" vertical="center" wrapText="1"/>
    </xf>
    <xf numFmtId="164" fontId="25" fillId="0" borderId="38" xfId="0" applyNumberFormat="1" applyFont="1" applyBorder="1" applyAlignment="1">
      <alignment horizontal="center" vertical="center" wrapText="1"/>
    </xf>
    <xf numFmtId="164" fontId="25" fillId="0" borderId="39" xfId="0" applyNumberFormat="1" applyFont="1" applyBorder="1" applyAlignment="1">
      <alignment horizontal="center" vertical="center" wrapText="1"/>
    </xf>
    <xf numFmtId="0" fontId="25" fillId="6" borderId="48" xfId="0" applyFont="1" applyFill="1" applyBorder="1" applyAlignment="1">
      <alignment vertical="center"/>
    </xf>
    <xf numFmtId="164" fontId="17" fillId="6" borderId="4" xfId="0" applyNumberFormat="1" applyFont="1" applyFill="1" applyBorder="1" applyAlignment="1">
      <alignment horizontal="center" vertical="center"/>
    </xf>
    <xf numFmtId="164" fontId="17" fillId="6" borderId="13" xfId="0" applyNumberFormat="1" applyFont="1" applyFill="1" applyBorder="1" applyAlignment="1">
      <alignment horizontal="center" vertical="center"/>
    </xf>
    <xf numFmtId="164" fontId="17" fillId="6" borderId="5" xfId="0" applyNumberFormat="1" applyFont="1" applyFill="1" applyBorder="1" applyAlignment="1">
      <alignment horizontal="center" vertical="center"/>
    </xf>
    <xf numFmtId="0" fontId="0" fillId="6" borderId="14" xfId="0" applyFill="1" applyBorder="1" applyAlignment="1">
      <alignment horizontal="center" vertical="center"/>
    </xf>
    <xf numFmtId="0" fontId="0" fillId="6" borderId="7" xfId="0" applyFill="1" applyBorder="1" applyAlignment="1">
      <alignment horizontal="center" vertical="center"/>
    </xf>
    <xf numFmtId="164" fontId="10" fillId="6" borderId="4" xfId="0" applyNumberFormat="1" applyFont="1" applyFill="1" applyBorder="1" applyAlignment="1">
      <alignment vertical="center" wrapText="1"/>
    </xf>
    <xf numFmtId="164" fontId="25" fillId="6" borderId="13" xfId="0" applyNumberFormat="1" applyFont="1" applyFill="1" applyBorder="1" applyAlignment="1">
      <alignment vertical="center" wrapText="1"/>
    </xf>
    <xf numFmtId="164" fontId="25" fillId="6" borderId="26" xfId="0" applyNumberFormat="1" applyFont="1" applyFill="1" applyBorder="1" applyAlignment="1">
      <alignment vertical="center" wrapText="1"/>
    </xf>
    <xf numFmtId="164" fontId="11" fillId="6" borderId="50" xfId="0" applyNumberFormat="1" applyFont="1" applyFill="1" applyBorder="1" applyAlignment="1">
      <alignment horizontal="right" vertical="center"/>
    </xf>
    <xf numFmtId="164" fontId="0" fillId="6" borderId="50" xfId="0" applyNumberFormat="1" applyFill="1" applyBorder="1" applyAlignment="1">
      <alignment horizontal="right" vertical="center"/>
    </xf>
    <xf numFmtId="164" fontId="0" fillId="6" borderId="25" xfId="0" applyNumberFormat="1" applyFill="1" applyBorder="1" applyAlignment="1">
      <alignment horizontal="right" vertical="center"/>
    </xf>
    <xf numFmtId="164" fontId="11" fillId="6" borderId="15" xfId="0" applyNumberFormat="1" applyFont="1" applyFill="1" applyBorder="1" applyAlignment="1">
      <alignment horizontal="right" vertical="center"/>
    </xf>
    <xf numFmtId="164" fontId="0" fillId="6" borderId="15" xfId="0" applyNumberFormat="1" applyFill="1" applyBorder="1" applyAlignment="1">
      <alignment horizontal="right" vertical="center"/>
    </xf>
    <xf numFmtId="164" fontId="0" fillId="6" borderId="11" xfId="0" applyNumberFormat="1" applyFill="1" applyBorder="1" applyAlignment="1">
      <alignment horizontal="right" vertical="center"/>
    </xf>
    <xf numFmtId="164" fontId="11" fillId="6" borderId="50" xfId="0" applyNumberFormat="1" applyFont="1" applyFill="1" applyBorder="1" applyAlignment="1">
      <alignment horizontal="center" vertical="center"/>
    </xf>
    <xf numFmtId="164" fontId="0" fillId="6" borderId="50" xfId="0" applyNumberFormat="1" applyFill="1" applyBorder="1" applyAlignment="1">
      <alignment horizontal="center" vertical="center"/>
    </xf>
    <xf numFmtId="164" fontId="0" fillId="6" borderId="25" xfId="0" applyNumberFormat="1" applyFill="1" applyBorder="1" applyAlignment="1">
      <alignment horizontal="center" vertical="center"/>
    </xf>
    <xf numFmtId="0" fontId="18" fillId="0" borderId="0" xfId="0" applyFont="1" applyAlignment="1">
      <alignment vertical="center" wrapText="1"/>
    </xf>
    <xf numFmtId="0" fontId="18" fillId="0" borderId="0" xfId="0" applyFont="1" applyAlignment="1">
      <alignment vertical="center"/>
    </xf>
    <xf numFmtId="164" fontId="0" fillId="0" borderId="0" xfId="0" applyNumberFormat="1" applyAlignment="1">
      <alignment vertical="center" wrapText="1"/>
    </xf>
    <xf numFmtId="0" fontId="0" fillId="0" borderId="0" xfId="0" applyAlignment="1">
      <alignment vertical="center" wrapText="1"/>
    </xf>
    <xf numFmtId="0" fontId="13" fillId="0" borderId="0" xfId="0" applyFont="1" applyAlignment="1">
      <alignment horizontal="center" vertical="center"/>
    </xf>
    <xf numFmtId="0" fontId="36" fillId="0" borderId="0" xfId="0" applyFont="1" applyAlignment="1">
      <alignment vertical="center"/>
    </xf>
    <xf numFmtId="0" fontId="18" fillId="0" borderId="0" xfId="0" applyFont="1" applyAlignment="1">
      <alignment horizontal="center" vertical="center" wrapText="1"/>
    </xf>
    <xf numFmtId="0" fontId="18" fillId="0" borderId="0" xfId="0" applyFont="1" applyAlignment="1">
      <alignment horizontal="right" vertical="center"/>
    </xf>
    <xf numFmtId="0" fontId="0" fillId="0" borderId="0" xfId="0" applyAlignment="1">
      <alignment horizontal="right" vertical="center"/>
    </xf>
    <xf numFmtId="0" fontId="14" fillId="0" borderId="16" xfId="0" applyFont="1" applyBorder="1" applyAlignment="1">
      <alignment horizontal="center" vertical="center" wrapText="1"/>
    </xf>
    <xf numFmtId="0" fontId="14" fillId="0" borderId="1" xfId="0" applyFont="1" applyBorder="1" applyAlignment="1">
      <alignment horizontal="center" vertical="center" wrapText="1"/>
    </xf>
    <xf numFmtId="0" fontId="14" fillId="0" borderId="27" xfId="0" applyFont="1" applyBorder="1" applyAlignment="1">
      <alignment horizontal="center" vertical="center" wrapText="1"/>
    </xf>
    <xf numFmtId="0" fontId="20" fillId="0" borderId="36" xfId="0" applyFont="1" applyBorder="1" applyAlignment="1">
      <alignment horizontal="center" vertical="center" wrapText="1"/>
    </xf>
    <xf numFmtId="0" fontId="20" fillId="0" borderId="16"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7" xfId="0" applyFont="1" applyBorder="1" applyAlignment="1">
      <alignment horizontal="center" vertical="center" wrapText="1"/>
    </xf>
    <xf numFmtId="0" fontId="44" fillId="0" borderId="0" xfId="0" applyFont="1" applyAlignment="1">
      <alignment horizontal="right"/>
    </xf>
    <xf numFmtId="0" fontId="27"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0" fillId="0" borderId="1" xfId="0" applyBorder="1" applyAlignment="1">
      <alignment horizontal="center" vertical="center" wrapText="1"/>
    </xf>
    <xf numFmtId="0" fontId="0" fillId="0" borderId="0" xfId="0" applyAlignment="1">
      <alignment horizontal="center" vertical="center"/>
    </xf>
    <xf numFmtId="0" fontId="44" fillId="0" borderId="0" xfId="0" applyFont="1" applyAlignment="1">
      <alignment horizontal="center"/>
    </xf>
    <xf numFmtId="0" fontId="0" fillId="0" borderId="0" xfId="0" applyAlignment="1">
      <alignment horizontal="center"/>
    </xf>
    <xf numFmtId="0" fontId="18" fillId="0" borderId="0" xfId="0" applyFont="1" applyAlignment="1">
      <alignment horizontal="left"/>
    </xf>
    <xf numFmtId="170" fontId="13" fillId="0" borderId="2" xfId="0" applyNumberFormat="1" applyFont="1" applyBorder="1" applyAlignment="1">
      <alignment horizontal="center" vertical="center" wrapText="1"/>
    </xf>
    <xf numFmtId="0" fontId="0" fillId="0" borderId="3" xfId="0" applyBorder="1" applyAlignment="1">
      <alignment horizontal="center" vertical="center" wrapText="1"/>
    </xf>
    <xf numFmtId="0" fontId="0" fillId="0" borderId="0" xfId="0" applyAlignment="1">
      <alignment horizontal="center" vertical="center" wrapText="1"/>
    </xf>
    <xf numFmtId="0" fontId="11" fillId="8" borderId="4" xfId="0" applyFont="1" applyFill="1" applyBorder="1" applyAlignment="1">
      <alignment horizontal="center" vertical="center" wrapText="1"/>
    </xf>
    <xf numFmtId="0" fontId="11" fillId="8" borderId="13" xfId="0" applyFont="1" applyFill="1" applyBorder="1" applyAlignment="1">
      <alignment horizontal="center" vertical="center" wrapText="1"/>
    </xf>
    <xf numFmtId="0" fontId="11" fillId="8" borderId="5"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13"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80" fillId="0" borderId="0" xfId="0" applyFont="1" applyAlignment="1">
      <alignment vertical="center" wrapText="1"/>
    </xf>
    <xf numFmtId="0" fontId="11" fillId="3" borderId="4" xfId="0" applyFont="1" applyFill="1" applyBorder="1" applyAlignment="1">
      <alignment horizontal="center" vertical="center" wrapText="1"/>
    </xf>
    <xf numFmtId="0" fontId="11" fillId="3" borderId="13" xfId="0" applyFont="1" applyFill="1" applyBorder="1" applyAlignment="1">
      <alignment horizontal="center" vertical="center" wrapText="1"/>
    </xf>
    <xf numFmtId="0" fontId="11" fillId="3" borderId="5"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4" fontId="10" fillId="2" borderId="2" xfId="0" applyNumberFormat="1" applyFont="1" applyFill="1" applyBorder="1" applyAlignment="1">
      <alignment horizontal="center" vertical="center"/>
    </xf>
    <xf numFmtId="4" fontId="10" fillId="2" borderId="3" xfId="0" applyNumberFormat="1" applyFont="1" applyFill="1" applyBorder="1" applyAlignment="1">
      <alignment horizontal="center" vertical="center"/>
    </xf>
    <xf numFmtId="0" fontId="18" fillId="0" borderId="0" xfId="0" applyFont="1" applyAlignment="1">
      <alignment horizontal="right"/>
    </xf>
    <xf numFmtId="0" fontId="14" fillId="0" borderId="36" xfId="0" applyFont="1" applyBorder="1" applyAlignment="1">
      <alignment horizontal="center" vertical="center" wrapText="1"/>
    </xf>
    <xf numFmtId="0" fontId="14" fillId="0" borderId="19" xfId="0" applyFont="1" applyBorder="1" applyAlignment="1">
      <alignment horizontal="center" vertical="center" wrapText="1"/>
    </xf>
    <xf numFmtId="0" fontId="0" fillId="0" borderId="0" xfId="0" applyAlignment="1">
      <alignment horizontal="right"/>
    </xf>
    <xf numFmtId="0" fontId="0" fillId="0" borderId="0" xfId="0"/>
    <xf numFmtId="0" fontId="13" fillId="0" borderId="0" xfId="0" applyFont="1" applyAlignment="1">
      <alignment vertical="center" wrapText="1"/>
    </xf>
    <xf numFmtId="0" fontId="20" fillId="0" borderId="7" xfId="0" applyFont="1" applyBorder="1" applyAlignment="1">
      <alignment vertical="center" wrapText="1"/>
    </xf>
    <xf numFmtId="0" fontId="0" fillId="0" borderId="10" xfId="0" applyBorder="1" applyAlignment="1">
      <alignment vertical="center" wrapText="1"/>
    </xf>
    <xf numFmtId="0" fontId="0" fillId="0" borderId="11" xfId="0" applyBorder="1" applyAlignment="1">
      <alignment vertical="center" wrapText="1"/>
    </xf>
    <xf numFmtId="0" fontId="14" fillId="0" borderId="4" xfId="0" applyFont="1" applyBorder="1" applyAlignment="1">
      <alignment vertical="center" wrapText="1"/>
    </xf>
    <xf numFmtId="0" fontId="13" fillId="0" borderId="13" xfId="0" applyFont="1" applyBorder="1" applyAlignment="1">
      <alignment vertical="center" wrapText="1"/>
    </xf>
    <xf numFmtId="0" fontId="13" fillId="0" borderId="5" xfId="0" applyFont="1" applyBorder="1" applyAlignment="1">
      <alignment vertical="center" wrapText="1"/>
    </xf>
    <xf numFmtId="0" fontId="27" fillId="0" borderId="0" xfId="0" applyFont="1" applyAlignment="1">
      <alignment horizontal="center" vertical="center" wrapText="1"/>
    </xf>
    <xf numFmtId="0" fontId="0" fillId="0" borderId="13" xfId="0" applyBorder="1" applyAlignment="1">
      <alignment vertical="center" wrapText="1"/>
    </xf>
    <xf numFmtId="0" fontId="0" fillId="0" borderId="5" xfId="0" applyBorder="1" applyAlignment="1">
      <alignment vertical="center" wrapText="1"/>
    </xf>
    <xf numFmtId="0" fontId="20" fillId="0" borderId="4" xfId="0" applyFont="1" applyBorder="1" applyAlignment="1">
      <alignment vertical="center" wrapText="1"/>
    </xf>
    <xf numFmtId="166" fontId="30" fillId="0" borderId="0" xfId="0" applyNumberFormat="1" applyFont="1" applyAlignment="1">
      <alignment horizontal="center" vertical="center" wrapText="1"/>
    </xf>
    <xf numFmtId="0" fontId="30" fillId="0" borderId="0" xfId="0" applyFont="1" applyAlignment="1">
      <alignment horizontal="center" vertical="center" wrapText="1"/>
    </xf>
    <xf numFmtId="0" fontId="0" fillId="0" borderId="10" xfId="0" applyBorder="1" applyAlignment="1">
      <alignment horizontal="right" vertical="center" wrapText="1"/>
    </xf>
    <xf numFmtId="0" fontId="0" fillId="0" borderId="4" xfId="0"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17" fillId="0" borderId="1" xfId="0" applyFont="1" applyBorder="1" applyAlignment="1">
      <alignment horizontal="center" vertical="center" wrapText="1"/>
    </xf>
    <xf numFmtId="1" fontId="30" fillId="0" borderId="51" xfId="0" applyNumberFormat="1" applyFont="1" applyBorder="1" applyAlignment="1">
      <alignment horizontal="center" vertical="center" wrapText="1"/>
    </xf>
    <xf numFmtId="1" fontId="30" fillId="0" borderId="52" xfId="0" applyNumberFormat="1" applyFont="1" applyBorder="1" applyAlignment="1">
      <alignment horizontal="center" vertical="center" wrapText="1"/>
    </xf>
    <xf numFmtId="2" fontId="30" fillId="0" borderId="51" xfId="0" applyNumberFormat="1" applyFont="1" applyBorder="1" applyAlignment="1">
      <alignment horizontal="center" vertical="center" wrapText="1"/>
    </xf>
    <xf numFmtId="2" fontId="0" fillId="0" borderId="52" xfId="0" applyNumberFormat="1" applyBorder="1" applyAlignment="1">
      <alignment horizontal="center" vertical="center" wrapText="1"/>
    </xf>
    <xf numFmtId="2" fontId="0" fillId="0" borderId="53" xfId="0" applyNumberFormat="1" applyBorder="1" applyAlignment="1">
      <alignment horizontal="center" vertical="center" wrapText="1"/>
    </xf>
    <xf numFmtId="2" fontId="0" fillId="0" borderId="54" xfId="0" applyNumberFormat="1" applyBorder="1" applyAlignment="1">
      <alignment horizontal="center" vertical="center" wrapText="1"/>
    </xf>
    <xf numFmtId="0" fontId="13" fillId="0" borderId="60" xfId="0" applyFont="1" applyBorder="1" applyAlignment="1">
      <alignment vertical="center" wrapText="1"/>
    </xf>
    <xf numFmtId="0" fontId="0" fillId="0" borderId="60" xfId="0" applyBorder="1" applyAlignment="1">
      <alignment vertical="center" wrapText="1"/>
    </xf>
  </cellXfs>
  <cellStyles count="2">
    <cellStyle name="Обычный" xfId="0" builtinId="0"/>
    <cellStyle name="Обычный 2" xfId="1"/>
  </cellStyles>
  <dxfs count="0"/>
  <tableStyles count="0" defaultTableStyle="TableStyleMedium2" defaultPivotStyle="PivotStyleMedium9"/>
  <colors>
    <mruColors>
      <color rgb="FFFFFF99"/>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O:\&#1041;&#1091;&#1083;&#1075;&#1072;&#1082;&#1086;&#1074;&#1072;%20&#1053;.&#1043;\&#1055;&#1080;&#1089;&#1100;&#1084;&#1072;\&#1058;&#1072;&#1073;&#1083;&#1080;&#1094;&#1072;%20&#1087;&#1086;&#1090;&#1088;&#1077;&#1073;&#1085;&#1086;&#1089;&#1090;&#1100;%20&#1089;&#1086;&#1075;&#1083;&#1072;&#1089;&#1086;&#1074;&#1072;&#1085;&#1086;%20&#1089;%20&#1044;&#1077;&#1087;&#1072;&#1088;&#1090;&#1072;&#1084;&#1077;&#1085;&#1090;&#1086;&#108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Лист1"/>
      <sheetName val="Лист3"/>
      <sheetName val="Лист2"/>
    </sheetNames>
    <sheetDataSet>
      <sheetData sheetId="0"/>
      <sheetData sheetId="1"/>
      <sheetData sheetId="2">
        <row r="19">
          <cell r="F19">
            <v>25000000</v>
          </cell>
        </row>
        <row r="20">
          <cell r="F20">
            <v>54869187.780000001</v>
          </cell>
        </row>
        <row r="22">
          <cell r="F22">
            <v>22619153.066399999</v>
          </cell>
        </row>
        <row r="23">
          <cell r="F23">
            <v>7503280.7401999999</v>
          </cell>
        </row>
      </sheetData>
      <sheetData sheetId="3"/>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R415"/>
  <sheetViews>
    <sheetView tabSelected="1" view="pageBreakPreview" zoomScale="70" zoomScaleNormal="70" zoomScaleSheetLayoutView="70" zoomScalePageLayoutView="75" workbookViewId="0">
      <selection activeCell="G410" sqref="F410:M419"/>
    </sheetView>
  </sheetViews>
  <sheetFormatPr defaultRowHeight="16.5" outlineLevelRow="1" x14ac:dyDescent="0.25"/>
  <cols>
    <col min="1" max="1" width="15" style="251" customWidth="1"/>
    <col min="2" max="2" width="70.85546875" style="251" customWidth="1"/>
    <col min="3" max="3" width="22.7109375" style="1" customWidth="1"/>
    <col min="4" max="7" width="13.7109375" style="1" customWidth="1"/>
    <col min="8" max="10" width="23.7109375" style="252" customWidth="1"/>
    <col min="11" max="11" width="23.7109375" style="454" customWidth="1"/>
    <col min="12" max="13" width="23.7109375" style="252" customWidth="1"/>
    <col min="14" max="14" width="24.7109375" style="253" customWidth="1"/>
    <col min="15" max="16" width="21.7109375" style="251" customWidth="1"/>
    <col min="17" max="17" width="21.28515625" style="251" bestFit="1" customWidth="1"/>
    <col min="18" max="18" width="15.28515625" style="251" customWidth="1"/>
    <col min="19" max="19" width="18.5703125" style="251" customWidth="1"/>
    <col min="20" max="16384" width="9.140625" style="251"/>
  </cols>
  <sheetData>
    <row r="2" spans="2:15" ht="21" outlineLevel="1" x14ac:dyDescent="0.25">
      <c r="J2" s="672" t="s">
        <v>265</v>
      </c>
      <c r="K2" s="673"/>
      <c r="L2" s="673"/>
      <c r="M2" s="673"/>
    </row>
    <row r="3" spans="2:15" ht="21" outlineLevel="1" x14ac:dyDescent="0.25">
      <c r="J3" s="672" t="s">
        <v>135</v>
      </c>
      <c r="K3" s="673"/>
      <c r="L3" s="673"/>
      <c r="M3" s="673"/>
    </row>
    <row r="4" spans="2:15" ht="21" outlineLevel="1" x14ac:dyDescent="0.25">
      <c r="J4" s="672" t="s">
        <v>125</v>
      </c>
      <c r="K4" s="673"/>
      <c r="L4" s="673"/>
      <c r="M4" s="673"/>
    </row>
    <row r="5" spans="2:15" ht="21" outlineLevel="1" x14ac:dyDescent="0.25">
      <c r="J5" s="672" t="s">
        <v>903</v>
      </c>
      <c r="K5" s="673"/>
      <c r="L5" s="673"/>
      <c r="M5" s="673"/>
    </row>
    <row r="6" spans="2:15" ht="20.25" x14ac:dyDescent="0.25">
      <c r="G6" s="34"/>
      <c r="J6" s="254"/>
      <c r="K6" s="452"/>
      <c r="L6" s="254"/>
      <c r="M6" s="254"/>
      <c r="O6" s="250"/>
    </row>
    <row r="7" spans="2:15" ht="21" x14ac:dyDescent="0.25">
      <c r="G7" s="34"/>
      <c r="J7" s="672" t="s">
        <v>79</v>
      </c>
      <c r="K7" s="673"/>
      <c r="L7" s="673"/>
      <c r="M7" s="673"/>
      <c r="N7" s="249"/>
    </row>
    <row r="8" spans="2:15" ht="21" x14ac:dyDescent="0.25">
      <c r="G8" s="34"/>
      <c r="J8" s="672" t="s">
        <v>80</v>
      </c>
      <c r="K8" s="673"/>
      <c r="L8" s="673"/>
      <c r="M8" s="673"/>
      <c r="N8" s="249"/>
      <c r="O8" s="250"/>
    </row>
    <row r="9" spans="2:15" ht="21" x14ac:dyDescent="0.25">
      <c r="G9" s="34"/>
      <c r="J9" s="672" t="s">
        <v>81</v>
      </c>
      <c r="K9" s="673"/>
      <c r="L9" s="673"/>
      <c r="M9" s="673"/>
      <c r="N9" s="249"/>
      <c r="O9" s="250"/>
    </row>
    <row r="10" spans="2:15" ht="21" x14ac:dyDescent="0.25">
      <c r="G10" s="34"/>
      <c r="J10" s="672" t="s">
        <v>82</v>
      </c>
      <c r="K10" s="673"/>
      <c r="L10" s="673"/>
      <c r="M10" s="673"/>
      <c r="N10" s="249"/>
      <c r="O10" s="250"/>
    </row>
    <row r="11" spans="2:15" x14ac:dyDescent="0.25">
      <c r="K11" s="453"/>
      <c r="L11" s="237"/>
      <c r="M11" s="237"/>
      <c r="N11" s="249"/>
      <c r="O11" s="250"/>
    </row>
    <row r="12" spans="2:15" ht="24" customHeight="1" x14ac:dyDescent="0.25">
      <c r="B12" s="688" t="s">
        <v>83</v>
      </c>
      <c r="C12" s="689"/>
      <c r="D12" s="689"/>
      <c r="E12" s="689"/>
      <c r="F12" s="689"/>
      <c r="G12" s="689"/>
      <c r="H12" s="689"/>
      <c r="I12" s="689"/>
      <c r="J12" s="689"/>
      <c r="K12" s="689"/>
      <c r="L12" s="689"/>
      <c r="M12" s="689"/>
      <c r="N12" s="249"/>
      <c r="O12" s="250"/>
    </row>
    <row r="13" spans="2:15" ht="24" customHeight="1" x14ac:dyDescent="0.25">
      <c r="B13" s="688" t="s">
        <v>84</v>
      </c>
      <c r="C13" s="689"/>
      <c r="D13" s="689"/>
      <c r="E13" s="689"/>
      <c r="F13" s="689"/>
      <c r="G13" s="689"/>
      <c r="H13" s="689"/>
      <c r="I13" s="689"/>
      <c r="J13" s="689"/>
      <c r="K13" s="689"/>
      <c r="L13" s="689"/>
      <c r="M13" s="689"/>
    </row>
    <row r="14" spans="2:15" ht="17.25" thickBot="1" x14ac:dyDescent="0.3"/>
    <row r="15" spans="2:15" s="255" customFormat="1" ht="36" customHeight="1" x14ac:dyDescent="0.25">
      <c r="B15" s="722" t="s">
        <v>0</v>
      </c>
      <c r="C15" s="724" t="s">
        <v>1</v>
      </c>
      <c r="D15" s="726" t="s">
        <v>2</v>
      </c>
      <c r="E15" s="727"/>
      <c r="F15" s="728" t="s">
        <v>4</v>
      </c>
      <c r="G15" s="729"/>
      <c r="H15" s="732" t="s">
        <v>5</v>
      </c>
      <c r="I15" s="733"/>
      <c r="J15" s="733"/>
      <c r="K15" s="733"/>
      <c r="L15" s="733"/>
      <c r="M15" s="734"/>
    </row>
    <row r="16" spans="2:15" ht="32.25" thickBot="1" x14ac:dyDescent="0.3">
      <c r="B16" s="723"/>
      <c r="C16" s="725"/>
      <c r="D16" s="256" t="s">
        <v>3</v>
      </c>
      <c r="E16" s="257" t="s">
        <v>17</v>
      </c>
      <c r="F16" s="730"/>
      <c r="G16" s="731"/>
      <c r="H16" s="258" t="s">
        <v>134</v>
      </c>
      <c r="I16" s="258" t="s">
        <v>6</v>
      </c>
      <c r="J16" s="258" t="s">
        <v>18</v>
      </c>
      <c r="K16" s="455" t="s">
        <v>19</v>
      </c>
      <c r="L16" s="258" t="s">
        <v>20</v>
      </c>
      <c r="M16" s="259" t="s">
        <v>21</v>
      </c>
    </row>
    <row r="17" spans="2:18" s="266" customFormat="1" ht="17.25" thickBot="1" x14ac:dyDescent="0.3">
      <c r="B17" s="260">
        <v>1</v>
      </c>
      <c r="C17" s="261">
        <v>2</v>
      </c>
      <c r="D17" s="261">
        <v>3</v>
      </c>
      <c r="E17" s="262">
        <v>4</v>
      </c>
      <c r="F17" s="263">
        <v>5</v>
      </c>
      <c r="G17" s="261">
        <v>6</v>
      </c>
      <c r="H17" s="264">
        <v>7</v>
      </c>
      <c r="I17" s="264">
        <v>8</v>
      </c>
      <c r="J17" s="264">
        <v>9</v>
      </c>
      <c r="K17" s="456">
        <v>10</v>
      </c>
      <c r="L17" s="264">
        <v>11</v>
      </c>
      <c r="M17" s="265">
        <v>12</v>
      </c>
    </row>
    <row r="18" spans="2:18" ht="19.5" customHeight="1" x14ac:dyDescent="0.25">
      <c r="B18" s="527" t="s">
        <v>7</v>
      </c>
      <c r="C18" s="649" t="s">
        <v>677</v>
      </c>
      <c r="D18" s="676">
        <v>2022</v>
      </c>
      <c r="E18" s="679">
        <v>2026</v>
      </c>
      <c r="F18" s="682" t="s">
        <v>75</v>
      </c>
      <c r="G18" s="683"/>
      <c r="H18" s="528">
        <f>SUM(H20:H24)</f>
        <v>11473917.248663209</v>
      </c>
      <c r="I18" s="457">
        <f t="shared" ref="I18:M18" si="0">SUM(I20:I24)</f>
        <v>2358972.9104914097</v>
      </c>
      <c r="J18" s="457">
        <f t="shared" si="0"/>
        <v>3491085.714027327</v>
      </c>
      <c r="K18" s="457">
        <f>SUM(K20:K24)</f>
        <v>2013556.0586318306</v>
      </c>
      <c r="L18" s="457">
        <f t="shared" si="0"/>
        <v>2095606.8483317341</v>
      </c>
      <c r="M18" s="529">
        <f t="shared" si="0"/>
        <v>1514695.7171809091</v>
      </c>
      <c r="N18" s="249"/>
    </row>
    <row r="19" spans="2:18" ht="19.5" customHeight="1" x14ac:dyDescent="0.25">
      <c r="B19" s="530" t="s">
        <v>8</v>
      </c>
      <c r="C19" s="674"/>
      <c r="D19" s="677"/>
      <c r="E19" s="680"/>
      <c r="F19" s="684"/>
      <c r="G19" s="685"/>
      <c r="H19" s="531"/>
      <c r="I19" s="668"/>
      <c r="J19" s="669"/>
      <c r="K19" s="669"/>
      <c r="L19" s="669"/>
      <c r="M19" s="670"/>
    </row>
    <row r="20" spans="2:18" ht="19.5" customHeight="1" x14ac:dyDescent="0.25">
      <c r="B20" s="492" t="s">
        <v>77</v>
      </c>
      <c r="C20" s="674"/>
      <c r="D20" s="677"/>
      <c r="E20" s="680"/>
      <c r="F20" s="684"/>
      <c r="G20" s="685"/>
      <c r="H20" s="532">
        <f t="shared" ref="H20:M20" si="1">H36+H134+H163+H200+H209+H236+H228+H401</f>
        <v>2122468.7600100003</v>
      </c>
      <c r="I20" s="458">
        <f t="shared" si="1"/>
        <v>450746.06000999996</v>
      </c>
      <c r="J20" s="458">
        <f t="shared" si="1"/>
        <v>1541309.7</v>
      </c>
      <c r="K20" s="458">
        <f t="shared" si="1"/>
        <v>26478.2</v>
      </c>
      <c r="L20" s="458">
        <f t="shared" si="1"/>
        <v>23307.7</v>
      </c>
      <c r="M20" s="533">
        <f t="shared" si="1"/>
        <v>80627.100000000006</v>
      </c>
      <c r="N20" s="249"/>
    </row>
    <row r="21" spans="2:18" ht="19.5" customHeight="1" x14ac:dyDescent="0.25">
      <c r="B21" s="492" t="s">
        <v>515</v>
      </c>
      <c r="C21" s="674"/>
      <c r="D21" s="677"/>
      <c r="E21" s="680"/>
      <c r="F21" s="684"/>
      <c r="G21" s="685"/>
      <c r="H21" s="532">
        <f t="shared" ref="H21:M21" si="2">H164</f>
        <v>0</v>
      </c>
      <c r="I21" s="458">
        <f t="shared" si="2"/>
        <v>0</v>
      </c>
      <c r="J21" s="458">
        <f t="shared" si="2"/>
        <v>0</v>
      </c>
      <c r="K21" s="458">
        <f t="shared" si="2"/>
        <v>0</v>
      </c>
      <c r="L21" s="458">
        <f t="shared" si="2"/>
        <v>0</v>
      </c>
      <c r="M21" s="533">
        <f t="shared" si="2"/>
        <v>0</v>
      </c>
      <c r="N21" s="249"/>
    </row>
    <row r="22" spans="2:18" x14ac:dyDescent="0.25">
      <c r="B22" s="492" t="s">
        <v>9</v>
      </c>
      <c r="C22" s="674"/>
      <c r="D22" s="677"/>
      <c r="E22" s="680"/>
      <c r="F22" s="684"/>
      <c r="G22" s="685"/>
      <c r="H22" s="532">
        <f t="shared" ref="H22:M23" si="3">H37+H135+H165+H201+H210+H237+H229+H402</f>
        <v>8598210.9768357649</v>
      </c>
      <c r="I22" s="458">
        <f t="shared" si="3"/>
        <v>1845312.5504818829</v>
      </c>
      <c r="J22" s="458">
        <f t="shared" si="3"/>
        <v>1904937.4968870541</v>
      </c>
      <c r="K22" s="458">
        <f t="shared" si="3"/>
        <v>1839647.7294642124</v>
      </c>
      <c r="L22" s="458">
        <f t="shared" si="3"/>
        <v>1599354.6000028169</v>
      </c>
      <c r="M22" s="533">
        <f t="shared" si="3"/>
        <v>1408958.5999997999</v>
      </c>
      <c r="N22" s="249"/>
      <c r="O22" s="250"/>
    </row>
    <row r="23" spans="2:18" x14ac:dyDescent="0.25">
      <c r="B23" s="492" t="s">
        <v>10</v>
      </c>
      <c r="C23" s="675"/>
      <c r="D23" s="678"/>
      <c r="E23" s="681"/>
      <c r="F23" s="686"/>
      <c r="G23" s="687"/>
      <c r="H23" s="532">
        <f t="shared" si="3"/>
        <v>753237.51181744481</v>
      </c>
      <c r="I23" s="458">
        <f t="shared" si="3"/>
        <v>62914.299999526796</v>
      </c>
      <c r="J23" s="458">
        <f t="shared" si="3"/>
        <v>44838.517140273201</v>
      </c>
      <c r="K23" s="458">
        <f t="shared" si="3"/>
        <v>147430.12916761829</v>
      </c>
      <c r="L23" s="458">
        <f t="shared" si="3"/>
        <v>472944.54832891736</v>
      </c>
      <c r="M23" s="533">
        <f t="shared" si="3"/>
        <v>25110.017181109088</v>
      </c>
      <c r="N23" s="249"/>
      <c r="O23" s="250"/>
    </row>
    <row r="24" spans="2:18" ht="17.25" x14ac:dyDescent="0.25">
      <c r="B24" s="735"/>
      <c r="C24" s="665"/>
      <c r="D24" s="665"/>
      <c r="E24" s="665"/>
      <c r="F24" s="665"/>
      <c r="G24" s="665"/>
      <c r="H24" s="665"/>
      <c r="I24" s="665"/>
      <c r="J24" s="665"/>
      <c r="K24" s="665"/>
      <c r="L24" s="665"/>
      <c r="M24" s="671"/>
    </row>
    <row r="25" spans="2:18" x14ac:dyDescent="0.25">
      <c r="B25" s="534" t="s">
        <v>129</v>
      </c>
      <c r="C25" s="535"/>
      <c r="D25" s="535"/>
      <c r="E25" s="535"/>
      <c r="F25" s="691" t="s">
        <v>806</v>
      </c>
      <c r="G25" s="696"/>
      <c r="H25" s="474"/>
      <c r="I25" s="474"/>
      <c r="J25" s="474"/>
      <c r="K25" s="459"/>
      <c r="L25" s="476"/>
      <c r="M25" s="536"/>
    </row>
    <row r="26" spans="2:18" ht="112.5" customHeight="1" x14ac:dyDescent="0.25">
      <c r="B26" s="537" t="s">
        <v>148</v>
      </c>
      <c r="C26" s="649" t="s">
        <v>637</v>
      </c>
      <c r="D26" s="538">
        <v>2022</v>
      </c>
      <c r="E26" s="538">
        <v>2026</v>
      </c>
      <c r="F26" s="697"/>
      <c r="G26" s="698"/>
      <c r="H26" s="460">
        <f>SUM(H27:H34)</f>
        <v>5066021.9054657808</v>
      </c>
      <c r="I26" s="460">
        <f>SUM(I27:I34)</f>
        <v>1050538.7186246498</v>
      </c>
      <c r="J26" s="460">
        <f>SUM(J27:J34)</f>
        <v>1032029.666671423</v>
      </c>
      <c r="K26" s="460">
        <f>SUM(K27:K34)</f>
        <v>1165271.7019897073</v>
      </c>
      <c r="L26" s="460">
        <f>SUM(L27:L33)</f>
        <v>909090.90908999997</v>
      </c>
      <c r="M26" s="539">
        <f>SUM(M27:M33)</f>
        <v>909090.90908999997</v>
      </c>
      <c r="N26" s="267"/>
      <c r="O26" s="250"/>
      <c r="P26" s="250"/>
    </row>
    <row r="27" spans="2:18" x14ac:dyDescent="0.25">
      <c r="B27" s="478" t="s">
        <v>22</v>
      </c>
      <c r="C27" s="674"/>
      <c r="D27" s="540"/>
      <c r="E27" s="540"/>
      <c r="F27" s="541"/>
      <c r="G27" s="542"/>
      <c r="H27" s="543">
        <f>SUM(I27:M27)</f>
        <v>3727042.318127363</v>
      </c>
      <c r="I27" s="461">
        <f>236984.84849-46500-6193.9036+146464.64646+151515.15151515+252525.25253-8268.49506+8771.2788+9549.0833333+17601.221229+2881.2820606-0.0367687-0.0003677-0.0000036-0.0000001+7962.80067+11097.04513-1811.64239+141.96841+837.14223+2938.86994+1163.32+1142.196+876+174.27276+300+41008.68687+14949.49495+5205.84</f>
        <v>851316.32318794972</v>
      </c>
      <c r="J27" s="461">
        <f>330755.59135-13939.3939-6060.606+2300+404040.40404+13939.3939-25252.52525-14000+6060.606+1003-13000-454545.4545455-67747.40961+226424.94949+0.00001+42906.06060606-0.01454545+83131.3131313131+62011.524+6.20177+150972.72312+5003</f>
        <v>734009.36356642307</v>
      </c>
      <c r="K27" s="461">
        <f>330755.59135-62929.2929292929+215030.362883-0.00005+251939.33414-1289.79117171717-12000-10000+22038.45198-95290.65454+68870.61381+0.025121</f>
        <v>707124.64059298998</v>
      </c>
      <c r="L27" s="461">
        <f>330755.59135+404040.40404-35000</f>
        <v>699795.99539000005</v>
      </c>
      <c r="M27" s="544">
        <v>734795.99539000005</v>
      </c>
      <c r="N27" s="268"/>
      <c r="O27" s="269"/>
      <c r="Q27" s="250"/>
      <c r="R27" s="250"/>
    </row>
    <row r="28" spans="2:18" x14ac:dyDescent="0.25">
      <c r="B28" s="478" t="s">
        <v>23</v>
      </c>
      <c r="C28" s="674"/>
      <c r="D28" s="540"/>
      <c r="E28" s="540"/>
      <c r="F28" s="541"/>
      <c r="G28" s="542"/>
      <c r="H28" s="543">
        <f t="shared" ref="H28:H33" si="4">SUM(I28:M28)</f>
        <v>406885.91781469999</v>
      </c>
      <c r="I28" s="462">
        <f>48000-5050.50505-682.7165253</f>
        <v>42266.778424700002</v>
      </c>
      <c r="J28" s="462">
        <f>48000-5050.50505+2025.454545</f>
        <v>44974.949495000001</v>
      </c>
      <c r="K28" s="462">
        <f>48000-5050.50505+50505.050505+10000+95290.65454</f>
        <v>198745.199995</v>
      </c>
      <c r="L28" s="462">
        <f>48000-5050.50505+35000</f>
        <v>77949.494949999993</v>
      </c>
      <c r="M28" s="545">
        <f>48000-5050.50505</f>
        <v>42949.49495</v>
      </c>
      <c r="N28" s="270"/>
      <c r="O28" s="269"/>
      <c r="P28" s="250"/>
    </row>
    <row r="29" spans="2:18" x14ac:dyDescent="0.25">
      <c r="B29" s="478" t="s">
        <v>186</v>
      </c>
      <c r="C29" s="674"/>
      <c r="D29" s="540"/>
      <c r="E29" s="540"/>
      <c r="F29" s="541"/>
      <c r="G29" s="542"/>
      <c r="H29" s="543">
        <f t="shared" si="4"/>
        <v>580969.51800000004</v>
      </c>
      <c r="I29" s="462">
        <v>116193.90360000001</v>
      </c>
      <c r="J29" s="462">
        <f>63500+46500+6193.9036</f>
        <v>116193.90360000001</v>
      </c>
      <c r="K29" s="462">
        <f>63500+46500+6193.9036</f>
        <v>116193.90360000001</v>
      </c>
      <c r="L29" s="462">
        <f>63500+46500+6193.9036</f>
        <v>116193.90360000001</v>
      </c>
      <c r="M29" s="545">
        <f>63500+46500+6193.9036</f>
        <v>116193.90360000001</v>
      </c>
      <c r="N29" s="271"/>
      <c r="O29" s="269"/>
    </row>
    <row r="30" spans="2:18" ht="33" x14ac:dyDescent="0.25">
      <c r="B30" s="492" t="s">
        <v>225</v>
      </c>
      <c r="C30" s="674"/>
      <c r="D30" s="540"/>
      <c r="E30" s="540"/>
      <c r="F30" s="541"/>
      <c r="G30" s="542"/>
      <c r="H30" s="543">
        <f t="shared" si="4"/>
        <v>106190.063782</v>
      </c>
      <c r="I30" s="462">
        <f>10000+101.0101-8268.495051-0.00001+8268.49506+50+153.9846+11313.131313-5205.84</f>
        <v>16412.286012</v>
      </c>
      <c r="J30" s="462">
        <f>10000+101.0101+25252.52525+5584.75+6437.0173-6437.0173-5584.75</f>
        <v>35353.535349999998</v>
      </c>
      <c r="K30" s="462">
        <f>'перечень объектов'!C226</f>
        <v>34222.222219999996</v>
      </c>
      <c r="L30" s="462">
        <f>10000+101.0101</f>
        <v>10101.0101</v>
      </c>
      <c r="M30" s="545">
        <f>10000+101.0101</f>
        <v>10101.0101</v>
      </c>
      <c r="N30" s="249"/>
      <c r="P30" s="250"/>
    </row>
    <row r="31" spans="2:18" ht="16.5" customHeight="1" x14ac:dyDescent="0.25">
      <c r="B31" s="492" t="s">
        <v>675</v>
      </c>
      <c r="C31" s="674"/>
      <c r="D31" s="540"/>
      <c r="E31" s="540"/>
      <c r="F31" s="541"/>
      <c r="G31" s="542"/>
      <c r="H31" s="543">
        <f t="shared" si="4"/>
        <v>8642.99</v>
      </c>
      <c r="I31" s="462">
        <v>0</v>
      </c>
      <c r="J31" s="468">
        <v>0</v>
      </c>
      <c r="K31" s="463">
        <f>10000-1357.01</f>
        <v>8642.99</v>
      </c>
      <c r="L31" s="546">
        <v>0</v>
      </c>
      <c r="M31" s="547">
        <v>0</v>
      </c>
      <c r="N31" s="249"/>
      <c r="O31" s="250"/>
      <c r="P31" s="250"/>
    </row>
    <row r="32" spans="2:18" ht="33" x14ac:dyDescent="0.25">
      <c r="B32" s="492" t="s">
        <v>25</v>
      </c>
      <c r="C32" s="674"/>
      <c r="D32" s="540"/>
      <c r="E32" s="540"/>
      <c r="F32" s="541"/>
      <c r="G32" s="542"/>
      <c r="H32" s="543">
        <f t="shared" si="4"/>
        <v>56292.92929</v>
      </c>
      <c r="I32" s="462">
        <f>5050.50505+4040.40404</f>
        <v>9090.9090899999992</v>
      </c>
      <c r="J32" s="466">
        <f>5050.50505+14000+13000</f>
        <v>32050.50505</v>
      </c>
      <c r="K32" s="464">
        <f>5050.50505</f>
        <v>5050.5050499999998</v>
      </c>
      <c r="L32" s="471">
        <v>5050.5050499999998</v>
      </c>
      <c r="M32" s="548">
        <v>5050.5050499999998</v>
      </c>
      <c r="N32" s="249"/>
    </row>
    <row r="33" spans="2:16" x14ac:dyDescent="0.25">
      <c r="B33" s="492" t="s">
        <v>154</v>
      </c>
      <c r="C33" s="674"/>
      <c r="D33" s="540"/>
      <c r="E33" s="540"/>
      <c r="F33" s="541"/>
      <c r="G33" s="542"/>
      <c r="H33" s="543">
        <f t="shared" si="4"/>
        <v>11474.096</v>
      </c>
      <c r="I33" s="468">
        <v>4944.0959999999995</v>
      </c>
      <c r="J33" s="466">
        <v>1700</v>
      </c>
      <c r="K33" s="465">
        <f>5000-170</f>
        <v>4830</v>
      </c>
      <c r="L33" s="466">
        <v>0</v>
      </c>
      <c r="M33" s="483">
        <v>0</v>
      </c>
      <c r="N33" s="249"/>
      <c r="O33" s="273"/>
    </row>
    <row r="34" spans="2:16" x14ac:dyDescent="0.25">
      <c r="B34" s="492" t="s">
        <v>26</v>
      </c>
      <c r="C34" s="675"/>
      <c r="D34" s="540"/>
      <c r="E34" s="540"/>
      <c r="F34" s="541"/>
      <c r="G34" s="542"/>
      <c r="H34" s="543">
        <f>SUM(I34:M34)</f>
        <v>168524.07245171716</v>
      </c>
      <c r="I34" s="466">
        <f>10314.42231</f>
        <v>10314.42231</v>
      </c>
      <c r="J34" s="466">
        <v>67747.409610000002</v>
      </c>
      <c r="K34" s="466">
        <f>1289791.17171717/1000+89172.44936</f>
        <v>90462.240531717165</v>
      </c>
      <c r="L34" s="466">
        <v>0</v>
      </c>
      <c r="M34" s="483">
        <v>0</v>
      </c>
    </row>
    <row r="35" spans="2:16" ht="17.25" x14ac:dyDescent="0.25">
      <c r="B35" s="549" t="s">
        <v>16</v>
      </c>
      <c r="C35" s="540"/>
      <c r="D35" s="540"/>
      <c r="E35" s="540"/>
      <c r="F35" s="541"/>
      <c r="G35" s="542"/>
      <c r="H35" s="736"/>
      <c r="I35" s="737"/>
      <c r="J35" s="737"/>
      <c r="K35" s="737"/>
      <c r="L35" s="737"/>
      <c r="M35" s="738"/>
    </row>
    <row r="36" spans="2:16" x14ac:dyDescent="0.25">
      <c r="B36" s="492" t="s">
        <v>77</v>
      </c>
      <c r="C36" s="540"/>
      <c r="D36" s="540"/>
      <c r="E36" s="540"/>
      <c r="F36" s="541"/>
      <c r="G36" s="542"/>
      <c r="H36" s="466">
        <f>SUM(I36:M36)</f>
        <v>0</v>
      </c>
      <c r="I36" s="466">
        <v>0</v>
      </c>
      <c r="J36" s="466">
        <v>0</v>
      </c>
      <c r="K36" s="466">
        <v>0</v>
      </c>
      <c r="L36" s="466">
        <v>0</v>
      </c>
      <c r="M36" s="483">
        <v>0</v>
      </c>
      <c r="N36" s="249"/>
    </row>
    <row r="37" spans="2:16" x14ac:dyDescent="0.25">
      <c r="B37" s="492" t="s">
        <v>9</v>
      </c>
      <c r="C37" s="540"/>
      <c r="D37" s="540"/>
      <c r="E37" s="540"/>
      <c r="F37" s="541"/>
      <c r="G37" s="542"/>
      <c r="H37" s="466">
        <f>SUM(I37:M37)</f>
        <v>4984475.8248726865</v>
      </c>
      <c r="I37" s="466">
        <v>1027438.6999981229</v>
      </c>
      <c r="J37" s="466">
        <f>'перечень объектов'!F135</f>
        <v>1016756.4000047536</v>
      </c>
      <c r="K37" s="466">
        <f>'перечень объектов'!F216</f>
        <v>1140280.7248698103</v>
      </c>
      <c r="L37" s="466">
        <v>900000</v>
      </c>
      <c r="M37" s="483">
        <v>900000</v>
      </c>
      <c r="N37" s="249"/>
      <c r="O37" s="250">
        <f>N37-K37</f>
        <v>-1140280.7248698103</v>
      </c>
      <c r="P37" s="274">
        <f>O37+O38</f>
        <v>-1151798.7119897073</v>
      </c>
    </row>
    <row r="38" spans="2:16" x14ac:dyDescent="0.25">
      <c r="B38" s="492" t="s">
        <v>10</v>
      </c>
      <c r="C38" s="540"/>
      <c r="D38" s="540"/>
      <c r="E38" s="540"/>
      <c r="F38" s="541"/>
      <c r="G38" s="542"/>
      <c r="H38" s="466">
        <f>SUM(I38:M38)</f>
        <v>82628.06196795663</v>
      </c>
      <c r="I38" s="466">
        <f>23100.0186265268+911.981373</f>
        <v>24011.999999526797</v>
      </c>
      <c r="J38" s="466">
        <f>'перечень объектов'!G135</f>
        <v>15273.266666714633</v>
      </c>
      <c r="K38" s="466">
        <f>'перечень объектов'!G216</f>
        <v>25160.97711989703</v>
      </c>
      <c r="L38" s="466">
        <f>L37/0.99/100</f>
        <v>9090.9090909090901</v>
      </c>
      <c r="M38" s="483">
        <f>M37/0.99/100</f>
        <v>9090.9090909090901</v>
      </c>
      <c r="N38" s="270"/>
      <c r="O38" s="274">
        <f>O37/99</f>
        <v>-11517.987119897074</v>
      </c>
    </row>
    <row r="39" spans="2:16" ht="17.25" x14ac:dyDescent="0.25">
      <c r="B39" s="664"/>
      <c r="C39" s="665"/>
      <c r="D39" s="665"/>
      <c r="E39" s="665"/>
      <c r="F39" s="665"/>
      <c r="G39" s="665"/>
      <c r="H39" s="665"/>
      <c r="I39" s="665"/>
      <c r="J39" s="665"/>
      <c r="K39" s="665"/>
      <c r="L39" s="665"/>
      <c r="M39" s="671"/>
    </row>
    <row r="40" spans="2:16" x14ac:dyDescent="0.25">
      <c r="B40" s="550" t="s">
        <v>130</v>
      </c>
      <c r="C40" s="649" t="s">
        <v>678</v>
      </c>
      <c r="D40" s="551"/>
      <c r="E40" s="551"/>
      <c r="F40" s="661" t="s">
        <v>807</v>
      </c>
      <c r="G40" s="662"/>
      <c r="H40" s="552"/>
      <c r="I40" s="552"/>
      <c r="J40" s="552"/>
      <c r="K40" s="467"/>
      <c r="L40" s="553"/>
      <c r="M40" s="554"/>
    </row>
    <row r="41" spans="2:16" ht="54" customHeight="1" x14ac:dyDescent="0.25">
      <c r="B41" s="704" t="s">
        <v>15</v>
      </c>
      <c r="C41" s="674"/>
      <c r="D41" s="649">
        <v>2022</v>
      </c>
      <c r="E41" s="719">
        <v>2026</v>
      </c>
      <c r="F41" s="663"/>
      <c r="G41" s="662"/>
      <c r="H41" s="747">
        <f>SUM(H44:H132)</f>
        <v>558377.09757000022</v>
      </c>
      <c r="I41" s="655">
        <f>SUM(I44:I132)</f>
        <v>226895.60840999999</v>
      </c>
      <c r="J41" s="655">
        <f>SUM(J44:J132)</f>
        <v>47381.027370000003</v>
      </c>
      <c r="K41" s="655">
        <f>SUM(K44:K132)</f>
        <v>209656.98059999998</v>
      </c>
      <c r="L41" s="655">
        <f>L131</f>
        <v>1425</v>
      </c>
      <c r="M41" s="744">
        <f>SUM(M44:M132)</f>
        <v>3947</v>
      </c>
      <c r="N41" s="249"/>
      <c r="O41" s="250">
        <v>150020.00958000001</v>
      </c>
      <c r="P41" s="250"/>
    </row>
    <row r="42" spans="2:16" ht="18.75" customHeight="1" x14ac:dyDescent="0.25">
      <c r="B42" s="705"/>
      <c r="C42" s="674"/>
      <c r="D42" s="708"/>
      <c r="E42" s="720"/>
      <c r="F42" s="613">
        <f>SUM(F44:F132)</f>
        <v>234559.5</v>
      </c>
      <c r="G42" s="614" t="s">
        <v>94</v>
      </c>
      <c r="H42" s="748"/>
      <c r="I42" s="656"/>
      <c r="J42" s="656"/>
      <c r="K42" s="656"/>
      <c r="L42" s="656"/>
      <c r="M42" s="745"/>
      <c r="N42" s="249"/>
      <c r="O42" s="250"/>
      <c r="P42" s="250"/>
    </row>
    <row r="43" spans="2:16" ht="18.75" customHeight="1" x14ac:dyDescent="0.25">
      <c r="B43" s="706"/>
      <c r="C43" s="674"/>
      <c r="D43" s="709"/>
      <c r="E43" s="721"/>
      <c r="F43" s="615">
        <f>SUM(G44:G132)</f>
        <v>23.006799999999998</v>
      </c>
      <c r="G43" s="616" t="s">
        <v>105</v>
      </c>
      <c r="H43" s="749"/>
      <c r="I43" s="657"/>
      <c r="J43" s="657"/>
      <c r="K43" s="657"/>
      <c r="L43" s="657"/>
      <c r="M43" s="746"/>
      <c r="N43" s="249"/>
      <c r="O43" s="250"/>
    </row>
    <row r="44" spans="2:16" x14ac:dyDescent="0.25">
      <c r="B44" s="492" t="s">
        <v>153</v>
      </c>
      <c r="C44" s="674"/>
      <c r="D44" s="473"/>
      <c r="E44" s="555"/>
      <c r="F44" s="490" t="s">
        <v>224</v>
      </c>
      <c r="G44" s="556" t="s">
        <v>224</v>
      </c>
      <c r="H44" s="543">
        <f>SUM(I44:M44)</f>
        <v>21875.829000000002</v>
      </c>
      <c r="I44" s="462">
        <f>21875.829-9370.03028</f>
        <v>12505.798720000001</v>
      </c>
      <c r="J44" s="466">
        <v>9370.0302800000009</v>
      </c>
      <c r="K44" s="466">
        <v>0</v>
      </c>
      <c r="L44" s="466">
        <v>0</v>
      </c>
      <c r="M44" s="483">
        <v>0</v>
      </c>
    </row>
    <row r="45" spans="2:16" x14ac:dyDescent="0.25">
      <c r="B45" s="492" t="s">
        <v>151</v>
      </c>
      <c r="C45" s="674"/>
      <c r="D45" s="473"/>
      <c r="E45" s="540"/>
      <c r="F45" s="490">
        <f>15760</f>
        <v>15760</v>
      </c>
      <c r="G45" s="557">
        <f>1.97</f>
        <v>1.97</v>
      </c>
      <c r="H45" s="543">
        <f t="shared" ref="H45:H132" si="5">SUM(I45:M45)</f>
        <v>38647.63392</v>
      </c>
      <c r="I45" s="468">
        <f>40996.9056-40996.9056+43570.4568-4922.82288</f>
        <v>38647.63392</v>
      </c>
      <c r="J45" s="466">
        <v>0</v>
      </c>
      <c r="K45" s="466">
        <v>0</v>
      </c>
      <c r="L45" s="466">
        <v>0</v>
      </c>
      <c r="M45" s="483">
        <v>0</v>
      </c>
    </row>
    <row r="46" spans="2:16" ht="18" customHeight="1" x14ac:dyDescent="0.25">
      <c r="B46" s="492" t="s">
        <v>152</v>
      </c>
      <c r="C46" s="674"/>
      <c r="D46" s="473"/>
      <c r="E46" s="540"/>
      <c r="F46" s="490">
        <f>910*8</f>
        <v>7280</v>
      </c>
      <c r="G46" s="557">
        <v>0.91</v>
      </c>
      <c r="H46" s="543">
        <f t="shared" si="5"/>
        <v>9261.9189200000001</v>
      </c>
      <c r="I46" s="468">
        <f>9409.2336-9409.2336+9900.5724-638.65348</f>
        <v>9261.9189200000001</v>
      </c>
      <c r="J46" s="466">
        <v>0</v>
      </c>
      <c r="K46" s="466">
        <v>0</v>
      </c>
      <c r="L46" s="466">
        <v>0</v>
      </c>
      <c r="M46" s="483">
        <v>0</v>
      </c>
    </row>
    <row r="47" spans="2:16" ht="33" x14ac:dyDescent="0.25">
      <c r="B47" s="492" t="s">
        <v>270</v>
      </c>
      <c r="C47" s="674"/>
      <c r="D47" s="473"/>
      <c r="E47" s="540"/>
      <c r="F47" s="490">
        <f>(970*8)/2</f>
        <v>3880</v>
      </c>
      <c r="G47" s="557">
        <f>0.97</f>
        <v>0.97</v>
      </c>
      <c r="H47" s="543">
        <f t="shared" si="5"/>
        <v>11337.800439999992</v>
      </c>
      <c r="I47" s="468">
        <f>59957.1+454.5439-999+0.00558-10700-107-1.07-0.0107-0.00011-28539.168-1572+33608.78788-52102.18855+48548.7648-40383.42241+2416.78801+755.67004</f>
        <v>11337.800439999992</v>
      </c>
      <c r="J47" s="466">
        <v>0</v>
      </c>
      <c r="K47" s="466">
        <v>0</v>
      </c>
      <c r="L47" s="466">
        <v>0</v>
      </c>
      <c r="M47" s="483">
        <v>0</v>
      </c>
      <c r="N47" s="249"/>
    </row>
    <row r="48" spans="2:16" x14ac:dyDescent="0.25">
      <c r="B48" s="492" t="s">
        <v>187</v>
      </c>
      <c r="C48" s="674"/>
      <c r="D48" s="473"/>
      <c r="E48" s="540"/>
      <c r="F48" s="490">
        <f>180*8</f>
        <v>1440</v>
      </c>
      <c r="G48" s="557">
        <v>0.18</v>
      </c>
      <c r="H48" s="543">
        <f t="shared" si="5"/>
        <v>1703.5781199999999</v>
      </c>
      <c r="I48" s="468">
        <v>1703.5781199999999</v>
      </c>
      <c r="J48" s="466">
        <v>0</v>
      </c>
      <c r="K48" s="466">
        <v>0</v>
      </c>
      <c r="L48" s="466">
        <v>0</v>
      </c>
      <c r="M48" s="483">
        <v>0</v>
      </c>
    </row>
    <row r="49" spans="2:15" x14ac:dyDescent="0.25">
      <c r="B49" s="492" t="s">
        <v>226</v>
      </c>
      <c r="C49" s="674"/>
      <c r="D49" s="473"/>
      <c r="E49" s="540"/>
      <c r="F49" s="490">
        <f>4566.1</f>
        <v>4566.1000000000004</v>
      </c>
      <c r="G49" s="557">
        <v>0.45</v>
      </c>
      <c r="H49" s="543">
        <f t="shared" si="5"/>
        <v>6061.13562</v>
      </c>
      <c r="I49" s="468">
        <f>6303.57202-242.4364</f>
        <v>6061.13562</v>
      </c>
      <c r="J49" s="468">
        <v>0</v>
      </c>
      <c r="K49" s="468">
        <v>0</v>
      </c>
      <c r="L49" s="468">
        <v>0</v>
      </c>
      <c r="M49" s="483">
        <v>0</v>
      </c>
      <c r="O49" s="274"/>
    </row>
    <row r="50" spans="2:15" x14ac:dyDescent="0.25">
      <c r="B50" s="492" t="s">
        <v>268</v>
      </c>
      <c r="C50" s="674"/>
      <c r="D50" s="473"/>
      <c r="E50" s="540"/>
      <c r="F50" s="490">
        <v>2240</v>
      </c>
      <c r="G50" s="557">
        <v>0.25</v>
      </c>
      <c r="H50" s="543">
        <f t="shared" si="5"/>
        <v>6500</v>
      </c>
      <c r="I50" s="468">
        <v>6500</v>
      </c>
      <c r="J50" s="468">
        <v>0</v>
      </c>
      <c r="K50" s="468">
        <v>0</v>
      </c>
      <c r="L50" s="468">
        <v>0</v>
      </c>
      <c r="M50" s="558">
        <v>0</v>
      </c>
    </row>
    <row r="51" spans="2:15" ht="33" x14ac:dyDescent="0.25">
      <c r="B51" s="492" t="s">
        <v>302</v>
      </c>
      <c r="C51" s="674"/>
      <c r="D51" s="473"/>
      <c r="E51" s="540"/>
      <c r="F51" s="490">
        <v>7245</v>
      </c>
      <c r="G51" s="557">
        <v>0.54400000000000004</v>
      </c>
      <c r="H51" s="543">
        <f t="shared" si="5"/>
        <v>8709.3001899999999</v>
      </c>
      <c r="I51" s="468">
        <v>8709.3001899999999</v>
      </c>
      <c r="J51" s="468">
        <v>0</v>
      </c>
      <c r="K51" s="468">
        <v>0</v>
      </c>
      <c r="L51" s="468">
        <v>0</v>
      </c>
      <c r="M51" s="558">
        <v>0</v>
      </c>
    </row>
    <row r="52" spans="2:15" ht="33" x14ac:dyDescent="0.25">
      <c r="B52" s="492" t="s">
        <v>291</v>
      </c>
      <c r="C52" s="674"/>
      <c r="D52" s="473"/>
      <c r="E52" s="540"/>
      <c r="F52" s="490">
        <v>9429</v>
      </c>
      <c r="G52" s="557">
        <v>0.371</v>
      </c>
      <c r="H52" s="543">
        <f t="shared" si="5"/>
        <v>8580.8336600000002</v>
      </c>
      <c r="I52" s="468">
        <v>8580.8336600000002</v>
      </c>
      <c r="J52" s="468">
        <v>0</v>
      </c>
      <c r="K52" s="468">
        <v>0</v>
      </c>
      <c r="L52" s="468">
        <v>0</v>
      </c>
      <c r="M52" s="558">
        <v>0</v>
      </c>
    </row>
    <row r="53" spans="2:15" x14ac:dyDescent="0.25">
      <c r="B53" s="492" t="s">
        <v>292</v>
      </c>
      <c r="C53" s="674"/>
      <c r="D53" s="473"/>
      <c r="E53" s="540"/>
      <c r="F53" s="490">
        <v>10756</v>
      </c>
      <c r="G53" s="557">
        <v>1.47</v>
      </c>
      <c r="H53" s="543">
        <f t="shared" si="5"/>
        <v>15231.91966</v>
      </c>
      <c r="I53" s="468">
        <v>15231.91966</v>
      </c>
      <c r="J53" s="468">
        <v>0</v>
      </c>
      <c r="K53" s="468">
        <v>0</v>
      </c>
      <c r="L53" s="468">
        <v>0</v>
      </c>
      <c r="M53" s="558">
        <v>0</v>
      </c>
    </row>
    <row r="54" spans="2:15" x14ac:dyDescent="0.25">
      <c r="B54" s="492" t="s">
        <v>167</v>
      </c>
      <c r="C54" s="674"/>
      <c r="D54" s="473"/>
      <c r="E54" s="540"/>
      <c r="F54" s="490">
        <v>9684</v>
      </c>
      <c r="G54" s="557">
        <v>1.29</v>
      </c>
      <c r="H54" s="543">
        <f t="shared" si="5"/>
        <v>13849.912850000001</v>
      </c>
      <c r="I54" s="468">
        <v>13849.912850000001</v>
      </c>
      <c r="J54" s="468">
        <v>0</v>
      </c>
      <c r="K54" s="468">
        <v>0</v>
      </c>
      <c r="L54" s="468">
        <v>0</v>
      </c>
      <c r="M54" s="558">
        <v>0</v>
      </c>
    </row>
    <row r="55" spans="2:15" x14ac:dyDescent="0.25">
      <c r="B55" s="492" t="s">
        <v>293</v>
      </c>
      <c r="C55" s="674"/>
      <c r="D55" s="473"/>
      <c r="E55" s="540"/>
      <c r="F55" s="490">
        <v>7256</v>
      </c>
      <c r="G55" s="557">
        <v>1.3</v>
      </c>
      <c r="H55" s="543">
        <f t="shared" si="5"/>
        <v>10413.80616</v>
      </c>
      <c r="I55" s="468">
        <v>10413.80616</v>
      </c>
      <c r="J55" s="468">
        <v>0</v>
      </c>
      <c r="K55" s="468">
        <v>0</v>
      </c>
      <c r="L55" s="468">
        <v>0</v>
      </c>
      <c r="M55" s="558">
        <v>0</v>
      </c>
    </row>
    <row r="56" spans="2:15" ht="132" x14ac:dyDescent="0.25">
      <c r="B56" s="492" t="s">
        <v>303</v>
      </c>
      <c r="C56" s="674"/>
      <c r="D56" s="473"/>
      <c r="E56" s="540"/>
      <c r="F56" s="490" t="s">
        <v>224</v>
      </c>
      <c r="G56" s="482" t="s">
        <v>224</v>
      </c>
      <c r="H56" s="543">
        <f t="shared" si="5"/>
        <v>4069.5383900000002</v>
      </c>
      <c r="I56" s="468">
        <v>4069.5383900000002</v>
      </c>
      <c r="J56" s="468">
        <v>0</v>
      </c>
      <c r="K56" s="468">
        <v>0</v>
      </c>
      <c r="L56" s="468">
        <v>0</v>
      </c>
      <c r="M56" s="558">
        <v>0</v>
      </c>
      <c r="N56" s="249"/>
      <c r="O56" s="269"/>
    </row>
    <row r="57" spans="2:15" ht="18" hidden="1" customHeight="1" outlineLevel="1" x14ac:dyDescent="0.25">
      <c r="B57" s="492" t="s">
        <v>304</v>
      </c>
      <c r="C57" s="674"/>
      <c r="D57" s="540"/>
      <c r="E57" s="540"/>
      <c r="F57" s="490"/>
      <c r="G57" s="557"/>
      <c r="H57" s="543">
        <f t="shared" si="5"/>
        <v>0</v>
      </c>
      <c r="I57" s="468">
        <f>15000-15000</f>
        <v>0</v>
      </c>
      <c r="J57" s="468">
        <v>0</v>
      </c>
      <c r="K57" s="468">
        <v>0</v>
      </c>
      <c r="L57" s="468">
        <v>0</v>
      </c>
      <c r="M57" s="558">
        <v>0</v>
      </c>
      <c r="N57" s="249"/>
      <c r="O57" s="250"/>
    </row>
    <row r="58" spans="2:15" ht="18" hidden="1" customHeight="1" outlineLevel="1" x14ac:dyDescent="0.25">
      <c r="B58" s="492" t="s">
        <v>688</v>
      </c>
      <c r="C58" s="674"/>
      <c r="D58" s="540"/>
      <c r="E58" s="540"/>
      <c r="F58" s="490"/>
      <c r="G58" s="557"/>
      <c r="H58" s="543">
        <f t="shared" si="5"/>
        <v>0</v>
      </c>
      <c r="I58" s="468">
        <v>0</v>
      </c>
      <c r="J58" s="468">
        <v>0</v>
      </c>
      <c r="K58" s="468">
        <f>2893.69738-2893.69738</f>
        <v>0</v>
      </c>
      <c r="L58" s="468">
        <v>0</v>
      </c>
      <c r="M58" s="558">
        <v>0</v>
      </c>
      <c r="N58" s="249"/>
      <c r="O58" s="250"/>
    </row>
    <row r="59" spans="2:15" ht="18" hidden="1" customHeight="1" outlineLevel="1" x14ac:dyDescent="0.25">
      <c r="B59" s="492" t="s">
        <v>689</v>
      </c>
      <c r="C59" s="674"/>
      <c r="D59" s="540"/>
      <c r="E59" s="540"/>
      <c r="F59" s="490"/>
      <c r="G59" s="557"/>
      <c r="H59" s="543">
        <f t="shared" si="5"/>
        <v>0</v>
      </c>
      <c r="I59" s="468">
        <v>0</v>
      </c>
      <c r="J59" s="468">
        <v>0</v>
      </c>
      <c r="K59" s="468">
        <f>7569.79999-7569.79999</f>
        <v>0</v>
      </c>
      <c r="L59" s="468">
        <v>0</v>
      </c>
      <c r="M59" s="558">
        <v>0</v>
      </c>
      <c r="N59" s="249"/>
      <c r="O59" s="250"/>
    </row>
    <row r="60" spans="2:15" ht="33" collapsed="1" x14ac:dyDescent="0.25">
      <c r="B60" s="478" t="s">
        <v>705</v>
      </c>
      <c r="C60" s="674"/>
      <c r="D60" s="540"/>
      <c r="E60" s="540"/>
      <c r="F60" s="490">
        <v>4085</v>
      </c>
      <c r="G60" s="557">
        <v>0.43</v>
      </c>
      <c r="H60" s="543">
        <f t="shared" si="5"/>
        <v>21956.693869999999</v>
      </c>
      <c r="I60" s="468">
        <v>0</v>
      </c>
      <c r="J60" s="468">
        <v>0</v>
      </c>
      <c r="K60" s="468">
        <f>'перечень объектов'!C234</f>
        <v>21956.693869999999</v>
      </c>
      <c r="L60" s="468">
        <v>0</v>
      </c>
      <c r="M60" s="558">
        <v>0</v>
      </c>
      <c r="N60" s="249"/>
      <c r="O60" s="250"/>
    </row>
    <row r="61" spans="2:15" x14ac:dyDescent="0.25">
      <c r="B61" s="478" t="s">
        <v>706</v>
      </c>
      <c r="C61" s="674"/>
      <c r="D61" s="540"/>
      <c r="E61" s="540"/>
      <c r="F61" s="490">
        <v>4568</v>
      </c>
      <c r="G61" s="557">
        <v>0.45</v>
      </c>
      <c r="H61" s="543">
        <f t="shared" si="5"/>
        <v>4144.8359099999998</v>
      </c>
      <c r="I61" s="468">
        <v>0</v>
      </c>
      <c r="J61" s="468">
        <v>0</v>
      </c>
      <c r="K61" s="468">
        <f>'перечень объектов'!C235</f>
        <v>4144.8359099999998</v>
      </c>
      <c r="L61" s="468">
        <v>0</v>
      </c>
      <c r="M61" s="558">
        <v>0</v>
      </c>
      <c r="N61" s="249"/>
      <c r="O61" s="250"/>
    </row>
    <row r="62" spans="2:15" x14ac:dyDescent="0.25">
      <c r="B62" s="478" t="s">
        <v>707</v>
      </c>
      <c r="C62" s="674"/>
      <c r="D62" s="540"/>
      <c r="E62" s="540"/>
      <c r="F62" s="490">
        <v>5895</v>
      </c>
      <c r="G62" s="557">
        <v>0.79</v>
      </c>
      <c r="H62" s="543">
        <f t="shared" si="5"/>
        <v>10589.70054</v>
      </c>
      <c r="I62" s="468">
        <v>0</v>
      </c>
      <c r="J62" s="468">
        <v>0</v>
      </c>
      <c r="K62" s="468">
        <f>'перечень объектов'!C236</f>
        <v>10589.70054</v>
      </c>
      <c r="L62" s="468">
        <v>0</v>
      </c>
      <c r="M62" s="558">
        <v>0</v>
      </c>
      <c r="N62" s="249"/>
      <c r="O62" s="250"/>
    </row>
    <row r="63" spans="2:15" x14ac:dyDescent="0.25">
      <c r="B63" s="478" t="s">
        <v>708</v>
      </c>
      <c r="C63" s="674"/>
      <c r="D63" s="540"/>
      <c r="E63" s="540"/>
      <c r="F63" s="490">
        <v>5320</v>
      </c>
      <c r="G63" s="557">
        <v>0.7</v>
      </c>
      <c r="H63" s="543">
        <f t="shared" si="5"/>
        <v>6271.3200100000004</v>
      </c>
      <c r="I63" s="468">
        <v>0</v>
      </c>
      <c r="J63" s="468">
        <v>0</v>
      </c>
      <c r="K63" s="468">
        <f>'перечень объектов'!C237</f>
        <v>6271.3200100000004</v>
      </c>
      <c r="L63" s="468">
        <v>0</v>
      </c>
      <c r="M63" s="558">
        <v>0</v>
      </c>
      <c r="N63" s="249"/>
      <c r="O63" s="250"/>
    </row>
    <row r="64" spans="2:15" hidden="1" x14ac:dyDescent="0.25">
      <c r="B64" s="478" t="s">
        <v>692</v>
      </c>
      <c r="C64" s="674"/>
      <c r="D64" s="540"/>
      <c r="E64" s="540"/>
      <c r="F64" s="490">
        <v>3285</v>
      </c>
      <c r="G64" s="557">
        <v>0.45</v>
      </c>
      <c r="H64" s="543">
        <f t="shared" si="5"/>
        <v>6200</v>
      </c>
      <c r="I64" s="468">
        <v>0</v>
      </c>
      <c r="J64" s="468">
        <v>0</v>
      </c>
      <c r="K64" s="468">
        <v>0</v>
      </c>
      <c r="L64" s="468">
        <v>6200</v>
      </c>
      <c r="M64" s="558">
        <v>0</v>
      </c>
      <c r="N64" s="249"/>
      <c r="O64" s="250"/>
    </row>
    <row r="65" spans="2:15" hidden="1" x14ac:dyDescent="0.25">
      <c r="B65" s="478" t="s">
        <v>693</v>
      </c>
      <c r="C65" s="674"/>
      <c r="D65" s="540"/>
      <c r="E65" s="540"/>
      <c r="F65" s="490">
        <v>6205</v>
      </c>
      <c r="G65" s="557">
        <v>0.73</v>
      </c>
      <c r="H65" s="543">
        <f t="shared" si="5"/>
        <v>10300</v>
      </c>
      <c r="I65" s="468">
        <v>0</v>
      </c>
      <c r="J65" s="468">
        <v>0</v>
      </c>
      <c r="K65" s="468">
        <v>0</v>
      </c>
      <c r="L65" s="468">
        <f>10300</f>
        <v>10300</v>
      </c>
      <c r="M65" s="558">
        <v>0</v>
      </c>
      <c r="N65" s="249"/>
      <c r="O65" s="250"/>
    </row>
    <row r="66" spans="2:15" hidden="1" x14ac:dyDescent="0.25">
      <c r="B66" s="478" t="s">
        <v>694</v>
      </c>
      <c r="C66" s="674"/>
      <c r="D66" s="540"/>
      <c r="E66" s="540"/>
      <c r="F66" s="490">
        <v>4505</v>
      </c>
      <c r="G66" s="557">
        <v>0.53</v>
      </c>
      <c r="H66" s="543">
        <f t="shared" si="5"/>
        <v>8500</v>
      </c>
      <c r="I66" s="468">
        <v>0</v>
      </c>
      <c r="J66" s="468">
        <v>0</v>
      </c>
      <c r="K66" s="468">
        <v>0</v>
      </c>
      <c r="L66" s="468">
        <v>8500</v>
      </c>
      <c r="M66" s="558">
        <v>0</v>
      </c>
      <c r="N66" s="249"/>
      <c r="O66" s="250"/>
    </row>
    <row r="67" spans="2:15" x14ac:dyDescent="0.25">
      <c r="B67" s="478" t="str">
        <f>'перечень объектов'!B238</f>
        <v xml:space="preserve">ул. Полесская от ул. Максима Горького до ул. Генерала Родина </v>
      </c>
      <c r="C67" s="674"/>
      <c r="D67" s="540"/>
      <c r="E67" s="540"/>
      <c r="F67" s="490">
        <v>18050</v>
      </c>
      <c r="G67" s="559">
        <v>1.1617999999999999</v>
      </c>
      <c r="H67" s="543">
        <f>SUM(I67:M67)</f>
        <v>43794.687839999999</v>
      </c>
      <c r="I67" s="468">
        <v>0</v>
      </c>
      <c r="J67" s="468">
        <v>0</v>
      </c>
      <c r="K67" s="468">
        <f>'перечень объектов'!C238</f>
        <v>43794.687839999999</v>
      </c>
      <c r="L67" s="468">
        <v>0</v>
      </c>
      <c r="M67" s="558">
        <v>0</v>
      </c>
      <c r="N67" s="249"/>
      <c r="O67" s="250"/>
    </row>
    <row r="68" spans="2:15" ht="33" hidden="1" x14ac:dyDescent="0.25">
      <c r="B68" s="478" t="str">
        <f>'перечень объектов'!B350</f>
        <v>ул. Полесская от ул. Максима Горького до ул. Генерала Родина (2 этап)</v>
      </c>
      <c r="C68" s="674"/>
      <c r="D68" s="540"/>
      <c r="E68" s="540"/>
      <c r="F68" s="490"/>
      <c r="G68" s="559"/>
      <c r="H68" s="543">
        <f>SUM(I68:M68)</f>
        <v>10275.92395</v>
      </c>
      <c r="I68" s="468">
        <v>0</v>
      </c>
      <c r="J68" s="468">
        <v>0</v>
      </c>
      <c r="K68" s="468">
        <v>0</v>
      </c>
      <c r="L68" s="468">
        <f>'перечень объектов'!C350</f>
        <v>10275.92395</v>
      </c>
      <c r="M68" s="558">
        <v>0</v>
      </c>
      <c r="N68" s="249"/>
      <c r="O68" s="250"/>
    </row>
    <row r="69" spans="2:15" ht="18" customHeight="1" x14ac:dyDescent="0.25">
      <c r="B69" s="478" t="str">
        <f>'перечень объектов'!B239</f>
        <v>ул. Цветаева от ул. Полесская до Наугорского шоссе</v>
      </c>
      <c r="C69" s="674"/>
      <c r="D69" s="540"/>
      <c r="E69" s="540"/>
      <c r="F69" s="490">
        <v>5228</v>
      </c>
      <c r="G69" s="560">
        <v>0.61499999999999999</v>
      </c>
      <c r="H69" s="543">
        <f t="shared" si="5"/>
        <v>14365.5</v>
      </c>
      <c r="I69" s="468">
        <v>0</v>
      </c>
      <c r="J69" s="468">
        <v>0</v>
      </c>
      <c r="K69" s="468">
        <f>'перечень объектов'!C239</f>
        <v>14365.5</v>
      </c>
      <c r="L69" s="468">
        <v>0</v>
      </c>
      <c r="M69" s="558">
        <v>0</v>
      </c>
      <c r="N69" s="249"/>
      <c r="O69" s="250"/>
    </row>
    <row r="70" spans="2:15" ht="49.5" x14ac:dyDescent="0.25">
      <c r="B70" s="478" t="s">
        <v>695</v>
      </c>
      <c r="C70" s="674"/>
      <c r="D70" s="540"/>
      <c r="E70" s="540"/>
      <c r="F70" s="490">
        <v>6115</v>
      </c>
      <c r="G70" s="557">
        <v>0.63</v>
      </c>
      <c r="H70" s="543">
        <f t="shared" si="5"/>
        <v>3846.40022</v>
      </c>
      <c r="I70" s="468">
        <v>0</v>
      </c>
      <c r="J70" s="468">
        <v>0</v>
      </c>
      <c r="K70" s="468">
        <f>'перечень объектов'!C240</f>
        <v>3846.40022</v>
      </c>
      <c r="L70" s="468">
        <v>0</v>
      </c>
      <c r="M70" s="558">
        <v>0</v>
      </c>
      <c r="N70" s="249"/>
      <c r="O70" s="250"/>
    </row>
    <row r="71" spans="2:15" ht="33" x14ac:dyDescent="0.25">
      <c r="B71" s="478" t="s">
        <v>709</v>
      </c>
      <c r="C71" s="674"/>
      <c r="D71" s="540"/>
      <c r="E71" s="540"/>
      <c r="F71" s="490">
        <v>6890</v>
      </c>
      <c r="G71" s="557">
        <v>0.33200000000000002</v>
      </c>
      <c r="H71" s="543">
        <f t="shared" si="5"/>
        <v>4110.3212299999996</v>
      </c>
      <c r="I71" s="468">
        <v>0</v>
      </c>
      <c r="J71" s="468">
        <v>0</v>
      </c>
      <c r="K71" s="468">
        <f>'перечень объектов'!C241</f>
        <v>4110.3212299999996</v>
      </c>
      <c r="L71" s="468">
        <v>0</v>
      </c>
      <c r="M71" s="558">
        <v>0</v>
      </c>
      <c r="N71" s="249"/>
      <c r="O71" s="250"/>
    </row>
    <row r="72" spans="2:15" x14ac:dyDescent="0.25">
      <c r="B72" s="478" t="s">
        <v>697</v>
      </c>
      <c r="C72" s="674"/>
      <c r="D72" s="540"/>
      <c r="E72" s="540"/>
      <c r="F72" s="490">
        <v>3140</v>
      </c>
      <c r="G72" s="557">
        <v>0.154</v>
      </c>
      <c r="H72" s="543">
        <f t="shared" si="5"/>
        <v>3285.8916300000001</v>
      </c>
      <c r="I72" s="468">
        <v>0</v>
      </c>
      <c r="J72" s="468">
        <v>0</v>
      </c>
      <c r="K72" s="468">
        <f>'перечень объектов'!C242</f>
        <v>3285.8916300000001</v>
      </c>
      <c r="L72" s="468">
        <v>0</v>
      </c>
      <c r="M72" s="558">
        <v>0</v>
      </c>
      <c r="N72" s="249"/>
      <c r="O72" s="250"/>
    </row>
    <row r="73" spans="2:15" hidden="1" x14ac:dyDescent="0.25">
      <c r="B73" s="478" t="s">
        <v>710</v>
      </c>
      <c r="C73" s="674"/>
      <c r="D73" s="540"/>
      <c r="E73" s="540"/>
      <c r="F73" s="490">
        <f>G73*11000</f>
        <v>11010.999999999998</v>
      </c>
      <c r="G73" s="557">
        <v>1.0009999999999999</v>
      </c>
      <c r="H73" s="543">
        <f t="shared" si="5"/>
        <v>33795.557240000002</v>
      </c>
      <c r="I73" s="468">
        <v>0</v>
      </c>
      <c r="J73" s="468">
        <v>0</v>
      </c>
      <c r="K73" s="468">
        <v>0</v>
      </c>
      <c r="L73" s="468">
        <f>'перечень объектов'!C349</f>
        <v>33795.557240000002</v>
      </c>
      <c r="M73" s="558">
        <v>0</v>
      </c>
      <c r="N73" s="249"/>
      <c r="O73" s="464">
        <v>172639.16263790001</v>
      </c>
    </row>
    <row r="74" spans="2:15" ht="33" x14ac:dyDescent="0.25">
      <c r="B74" s="492" t="s">
        <v>711</v>
      </c>
      <c r="C74" s="674"/>
      <c r="D74" s="540"/>
      <c r="E74" s="540"/>
      <c r="F74" s="490">
        <f>2191+300+5456.7+646.7</f>
        <v>8594.4</v>
      </c>
      <c r="G74" s="482" t="s">
        <v>224</v>
      </c>
      <c r="H74" s="465">
        <f>SUM(I74:M74)</f>
        <v>22847.629349999999</v>
      </c>
      <c r="I74" s="468">
        <v>0</v>
      </c>
      <c r="J74" s="469">
        <v>0</v>
      </c>
      <c r="K74" s="466">
        <f>'перечень объектов'!C243</f>
        <v>22847.629349999999</v>
      </c>
      <c r="L74" s="468">
        <v>0</v>
      </c>
      <c r="M74" s="561">
        <v>0</v>
      </c>
      <c r="N74" s="249"/>
      <c r="O74" s="250" t="e">
        <f>#REF!-O73</f>
        <v>#REF!</v>
      </c>
    </row>
    <row r="75" spans="2:15" ht="33" x14ac:dyDescent="0.25">
      <c r="B75" s="492" t="s">
        <v>308</v>
      </c>
      <c r="C75" s="674"/>
      <c r="D75" s="540"/>
      <c r="E75" s="540"/>
      <c r="F75" s="490"/>
      <c r="G75" s="562" t="s">
        <v>499</v>
      </c>
      <c r="H75" s="543">
        <f t="shared" si="5"/>
        <v>770.94519000000003</v>
      </c>
      <c r="I75" s="468">
        <f>27*25.7</f>
        <v>693.9</v>
      </c>
      <c r="J75" s="468">
        <f>25.68173*3</f>
        <v>77.045190000000005</v>
      </c>
      <c r="K75" s="468">
        <v>0</v>
      </c>
      <c r="L75" s="468">
        <v>0</v>
      </c>
      <c r="M75" s="558">
        <v>0</v>
      </c>
      <c r="O75" s="251" t="e">
        <f>O74/99*100</f>
        <v>#REF!</v>
      </c>
    </row>
    <row r="76" spans="2:15" ht="33" x14ac:dyDescent="0.25">
      <c r="B76" s="492" t="s">
        <v>309</v>
      </c>
      <c r="C76" s="674"/>
      <c r="D76" s="540"/>
      <c r="E76" s="540"/>
      <c r="F76" s="490"/>
      <c r="G76" s="562" t="s">
        <v>449</v>
      </c>
      <c r="H76" s="543">
        <f t="shared" si="5"/>
        <v>513.98172999999997</v>
      </c>
      <c r="I76" s="468">
        <f>19*25.7</f>
        <v>488.3</v>
      </c>
      <c r="J76" s="468">
        <f>25.68173*1</f>
        <v>25.681730000000002</v>
      </c>
      <c r="K76" s="468">
        <v>0</v>
      </c>
      <c r="L76" s="468">
        <v>0</v>
      </c>
      <c r="M76" s="558">
        <v>0</v>
      </c>
      <c r="O76" s="251">
        <v>12953.8734667677</v>
      </c>
    </row>
    <row r="77" spans="2:15" ht="33" x14ac:dyDescent="0.25">
      <c r="B77" s="492" t="s">
        <v>310</v>
      </c>
      <c r="C77" s="674"/>
      <c r="D77" s="540"/>
      <c r="E77" s="540"/>
      <c r="F77" s="490"/>
      <c r="G77" s="562" t="s">
        <v>211</v>
      </c>
      <c r="H77" s="543">
        <f t="shared" si="5"/>
        <v>128.5</v>
      </c>
      <c r="I77" s="468">
        <f>5*25.7</f>
        <v>128.5</v>
      </c>
      <c r="J77" s="468">
        <v>0</v>
      </c>
      <c r="K77" s="468">
        <v>0</v>
      </c>
      <c r="L77" s="468">
        <v>0</v>
      </c>
      <c r="M77" s="558">
        <v>0</v>
      </c>
    </row>
    <row r="78" spans="2:15" ht="33" x14ac:dyDescent="0.25">
      <c r="B78" s="492" t="s">
        <v>332</v>
      </c>
      <c r="C78" s="674"/>
      <c r="D78" s="540"/>
      <c r="E78" s="540"/>
      <c r="F78" s="490"/>
      <c r="G78" s="563" t="s">
        <v>337</v>
      </c>
      <c r="H78" s="543">
        <f t="shared" si="5"/>
        <v>77.099999999999994</v>
      </c>
      <c r="I78" s="468">
        <f>3*25.7</f>
        <v>77.099999999999994</v>
      </c>
      <c r="J78" s="468">
        <v>0</v>
      </c>
      <c r="K78" s="468">
        <v>0</v>
      </c>
      <c r="L78" s="468">
        <v>0</v>
      </c>
      <c r="M78" s="558">
        <v>0</v>
      </c>
    </row>
    <row r="79" spans="2:15" ht="33" x14ac:dyDescent="0.25">
      <c r="B79" s="492" t="s">
        <v>334</v>
      </c>
      <c r="C79" s="674"/>
      <c r="D79" s="540"/>
      <c r="E79" s="540"/>
      <c r="F79" s="490"/>
      <c r="G79" s="563" t="s">
        <v>449</v>
      </c>
      <c r="H79" s="543">
        <f t="shared" si="5"/>
        <v>513.70767999999998</v>
      </c>
      <c r="I79" s="468">
        <f>4*25.7</f>
        <v>102.8</v>
      </c>
      <c r="J79" s="468">
        <f>25.68173*16</f>
        <v>410.90768000000003</v>
      </c>
      <c r="K79" s="468">
        <v>0</v>
      </c>
      <c r="L79" s="468">
        <v>0</v>
      </c>
      <c r="M79" s="558">
        <v>0</v>
      </c>
    </row>
    <row r="80" spans="2:15" ht="33" x14ac:dyDescent="0.25">
      <c r="B80" s="492" t="s">
        <v>497</v>
      </c>
      <c r="C80" s="674"/>
      <c r="D80" s="540"/>
      <c r="E80" s="540"/>
      <c r="F80" s="490"/>
      <c r="G80" s="563" t="s">
        <v>207</v>
      </c>
      <c r="H80" s="543">
        <f t="shared" si="5"/>
        <v>25.681730000000002</v>
      </c>
      <c r="I80" s="468">
        <v>0</v>
      </c>
      <c r="J80" s="468">
        <f>25.68173*1</f>
        <v>25.681730000000002</v>
      </c>
      <c r="K80" s="468">
        <v>0</v>
      </c>
      <c r="L80" s="468">
        <v>0</v>
      </c>
      <c r="M80" s="558">
        <v>0</v>
      </c>
    </row>
    <row r="81" spans="2:15" ht="33" x14ac:dyDescent="0.25">
      <c r="B81" s="492" t="s">
        <v>498</v>
      </c>
      <c r="C81" s="674"/>
      <c r="D81" s="540"/>
      <c r="E81" s="540"/>
      <c r="F81" s="490"/>
      <c r="G81" s="563" t="s">
        <v>207</v>
      </c>
      <c r="H81" s="543">
        <f t="shared" si="5"/>
        <v>25.681730000000002</v>
      </c>
      <c r="I81" s="468">
        <v>0</v>
      </c>
      <c r="J81" s="468">
        <f>25.68173*1</f>
        <v>25.681730000000002</v>
      </c>
      <c r="K81" s="468">
        <v>0</v>
      </c>
      <c r="L81" s="468">
        <v>0</v>
      </c>
      <c r="M81" s="558">
        <v>0</v>
      </c>
    </row>
    <row r="82" spans="2:15" ht="33" x14ac:dyDescent="0.25">
      <c r="B82" s="492" t="s">
        <v>335</v>
      </c>
      <c r="C82" s="674"/>
      <c r="D82" s="540"/>
      <c r="E82" s="540"/>
      <c r="F82" s="490"/>
      <c r="G82" s="563" t="s">
        <v>488</v>
      </c>
      <c r="H82" s="543">
        <f t="shared" si="5"/>
        <v>847.78941000000009</v>
      </c>
      <c r="I82" s="468">
        <f>16*25.7</f>
        <v>411.2</v>
      </c>
      <c r="J82" s="468">
        <f>17*25.68173</f>
        <v>436.58941000000004</v>
      </c>
      <c r="K82" s="468">
        <v>0</v>
      </c>
      <c r="L82" s="468">
        <v>0</v>
      </c>
      <c r="M82" s="558">
        <v>0</v>
      </c>
    </row>
    <row r="83" spans="2:15" ht="33" x14ac:dyDescent="0.25">
      <c r="B83" s="492" t="s">
        <v>336</v>
      </c>
      <c r="C83" s="674"/>
      <c r="D83" s="540"/>
      <c r="E83" s="540"/>
      <c r="F83" s="490"/>
      <c r="G83" s="563" t="s">
        <v>337</v>
      </c>
      <c r="H83" s="543">
        <f t="shared" si="5"/>
        <v>77.099999999999994</v>
      </c>
      <c r="I83" s="468">
        <f>3*25.7</f>
        <v>77.099999999999994</v>
      </c>
      <c r="J83" s="468">
        <v>0</v>
      </c>
      <c r="K83" s="468">
        <v>0</v>
      </c>
      <c r="L83" s="468">
        <v>0</v>
      </c>
      <c r="M83" s="558">
        <v>0</v>
      </c>
    </row>
    <row r="84" spans="2:15" ht="33" x14ac:dyDescent="0.25">
      <c r="B84" s="492" t="s">
        <v>338</v>
      </c>
      <c r="C84" s="674"/>
      <c r="D84" s="540"/>
      <c r="E84" s="540"/>
      <c r="F84" s="490"/>
      <c r="G84" s="563" t="s">
        <v>311</v>
      </c>
      <c r="H84" s="543">
        <f t="shared" si="5"/>
        <v>102.8</v>
      </c>
      <c r="I84" s="468">
        <f>4*25.7</f>
        <v>102.8</v>
      </c>
      <c r="J84" s="468">
        <v>0</v>
      </c>
      <c r="K84" s="468">
        <v>0</v>
      </c>
      <c r="L84" s="468">
        <v>0</v>
      </c>
      <c r="M84" s="558">
        <v>0</v>
      </c>
    </row>
    <row r="85" spans="2:15" ht="33" x14ac:dyDescent="0.25">
      <c r="B85" s="492" t="s">
        <v>339</v>
      </c>
      <c r="C85" s="674"/>
      <c r="D85" s="540"/>
      <c r="E85" s="540"/>
      <c r="F85" s="490"/>
      <c r="G85" s="563" t="s">
        <v>311</v>
      </c>
      <c r="H85" s="543">
        <f t="shared" si="5"/>
        <v>102.78173</v>
      </c>
      <c r="I85" s="468">
        <f>3*25.7</f>
        <v>77.099999999999994</v>
      </c>
      <c r="J85" s="468">
        <f>25.68173*1</f>
        <v>25.681730000000002</v>
      </c>
      <c r="K85" s="468">
        <v>0</v>
      </c>
      <c r="L85" s="468">
        <v>0</v>
      </c>
      <c r="M85" s="558">
        <v>0</v>
      </c>
    </row>
    <row r="86" spans="2:15" ht="33" x14ac:dyDescent="0.25">
      <c r="B86" s="492" t="s">
        <v>346</v>
      </c>
      <c r="C86" s="674"/>
      <c r="D86" s="540"/>
      <c r="E86" s="540"/>
      <c r="F86" s="490"/>
      <c r="G86" s="563" t="s">
        <v>337</v>
      </c>
      <c r="H86" s="543">
        <f t="shared" si="5"/>
        <v>77.099999999999994</v>
      </c>
      <c r="I86" s="468">
        <f>3*25.7</f>
        <v>77.099999999999994</v>
      </c>
      <c r="J86" s="468">
        <v>0</v>
      </c>
      <c r="K86" s="468">
        <v>0</v>
      </c>
      <c r="L86" s="468">
        <v>0</v>
      </c>
      <c r="M86" s="558">
        <v>0</v>
      </c>
    </row>
    <row r="87" spans="2:15" ht="33" x14ac:dyDescent="0.25">
      <c r="B87" s="492" t="s">
        <v>340</v>
      </c>
      <c r="C87" s="674"/>
      <c r="D87" s="540"/>
      <c r="E87" s="540"/>
      <c r="F87" s="490"/>
      <c r="G87" s="563" t="s">
        <v>500</v>
      </c>
      <c r="H87" s="543">
        <f t="shared" si="5"/>
        <v>256.92692</v>
      </c>
      <c r="I87" s="468">
        <f>6*25.7</f>
        <v>154.19999999999999</v>
      </c>
      <c r="J87" s="468">
        <f>25.68173*4</f>
        <v>102.72692000000001</v>
      </c>
      <c r="K87" s="468">
        <v>0</v>
      </c>
      <c r="L87" s="468">
        <v>0</v>
      </c>
      <c r="M87" s="558">
        <v>0</v>
      </c>
      <c r="O87" s="269"/>
    </row>
    <row r="88" spans="2:15" ht="33" x14ac:dyDescent="0.25">
      <c r="B88" s="492" t="s">
        <v>342</v>
      </c>
      <c r="C88" s="674"/>
      <c r="D88" s="540"/>
      <c r="E88" s="540"/>
      <c r="F88" s="490"/>
      <c r="G88" s="563" t="s">
        <v>311</v>
      </c>
      <c r="H88" s="543">
        <f t="shared" si="5"/>
        <v>102.78173</v>
      </c>
      <c r="I88" s="468">
        <f>3*25.7</f>
        <v>77.099999999999994</v>
      </c>
      <c r="J88" s="468">
        <f>25.68173*1</f>
        <v>25.681730000000002</v>
      </c>
      <c r="K88" s="468">
        <v>0</v>
      </c>
      <c r="L88" s="468">
        <v>0</v>
      </c>
      <c r="M88" s="558">
        <v>0</v>
      </c>
      <c r="O88" s="269"/>
    </row>
    <row r="89" spans="2:15" ht="33" x14ac:dyDescent="0.25">
      <c r="B89" s="492" t="s">
        <v>343</v>
      </c>
      <c r="C89" s="674"/>
      <c r="D89" s="540"/>
      <c r="E89" s="540"/>
      <c r="F89" s="490"/>
      <c r="G89" s="563" t="s">
        <v>207</v>
      </c>
      <c r="H89" s="543">
        <f t="shared" si="5"/>
        <v>25.7</v>
      </c>
      <c r="I89" s="468">
        <f>1*25.7</f>
        <v>25.7</v>
      </c>
      <c r="J89" s="468">
        <v>0</v>
      </c>
      <c r="K89" s="468">
        <v>0</v>
      </c>
      <c r="L89" s="468">
        <v>0</v>
      </c>
      <c r="M89" s="558">
        <v>0</v>
      </c>
      <c r="O89" s="269"/>
    </row>
    <row r="90" spans="2:15" ht="33" x14ac:dyDescent="0.25">
      <c r="B90" s="492" t="s">
        <v>341</v>
      </c>
      <c r="C90" s="674"/>
      <c r="D90" s="540"/>
      <c r="E90" s="540"/>
      <c r="F90" s="490"/>
      <c r="G90" s="563" t="s">
        <v>333</v>
      </c>
      <c r="H90" s="543">
        <f t="shared" si="5"/>
        <v>51.381730000000005</v>
      </c>
      <c r="I90" s="468">
        <f>1*25.7</f>
        <v>25.7</v>
      </c>
      <c r="J90" s="468">
        <f>25.68173*1</f>
        <v>25.681730000000002</v>
      </c>
      <c r="K90" s="468">
        <v>0</v>
      </c>
      <c r="L90" s="468">
        <v>0</v>
      </c>
      <c r="M90" s="558">
        <v>0</v>
      </c>
    </row>
    <row r="91" spans="2:15" ht="33" x14ac:dyDescent="0.25">
      <c r="B91" s="492" t="s">
        <v>344</v>
      </c>
      <c r="C91" s="674"/>
      <c r="D91" s="540"/>
      <c r="E91" s="540"/>
      <c r="F91" s="490"/>
      <c r="G91" s="563" t="s">
        <v>333</v>
      </c>
      <c r="H91" s="543">
        <f t="shared" si="5"/>
        <v>51.4</v>
      </c>
      <c r="I91" s="468">
        <f>2*25.7</f>
        <v>51.4</v>
      </c>
      <c r="J91" s="468">
        <v>0</v>
      </c>
      <c r="K91" s="468">
        <v>0</v>
      </c>
      <c r="L91" s="468">
        <v>0</v>
      </c>
      <c r="M91" s="558">
        <v>0</v>
      </c>
    </row>
    <row r="92" spans="2:15" ht="33" x14ac:dyDescent="0.25">
      <c r="B92" s="492" t="s">
        <v>372</v>
      </c>
      <c r="C92" s="674"/>
      <c r="D92" s="540"/>
      <c r="E92" s="540"/>
      <c r="F92" s="490"/>
      <c r="G92" s="563" t="s">
        <v>311</v>
      </c>
      <c r="H92" s="543">
        <f t="shared" si="5"/>
        <v>102.76346000000001</v>
      </c>
      <c r="I92" s="468">
        <f>2*25.7</f>
        <v>51.4</v>
      </c>
      <c r="J92" s="468">
        <f>25.68173*2</f>
        <v>51.363460000000003</v>
      </c>
      <c r="K92" s="468">
        <v>0</v>
      </c>
      <c r="L92" s="468">
        <v>0</v>
      </c>
      <c r="M92" s="558">
        <v>0</v>
      </c>
    </row>
    <row r="93" spans="2:15" ht="33" x14ac:dyDescent="0.25">
      <c r="B93" s="492" t="s">
        <v>345</v>
      </c>
      <c r="C93" s="674"/>
      <c r="D93" s="540"/>
      <c r="E93" s="540"/>
      <c r="F93" s="490"/>
      <c r="G93" s="563" t="s">
        <v>207</v>
      </c>
      <c r="H93" s="543">
        <f t="shared" ref="H93:H98" si="6">SUM(I93:M93)</f>
        <v>25.7</v>
      </c>
      <c r="I93" s="468">
        <f>1*25.7</f>
        <v>25.7</v>
      </c>
      <c r="J93" s="468">
        <v>0</v>
      </c>
      <c r="K93" s="468">
        <v>0</v>
      </c>
      <c r="L93" s="468">
        <v>0</v>
      </c>
      <c r="M93" s="558">
        <v>0</v>
      </c>
    </row>
    <row r="94" spans="2:15" ht="33" x14ac:dyDescent="0.25">
      <c r="B94" s="492" t="s">
        <v>450</v>
      </c>
      <c r="C94" s="674"/>
      <c r="D94" s="540"/>
      <c r="E94" s="540"/>
      <c r="F94" s="490"/>
      <c r="G94" s="563" t="s">
        <v>505</v>
      </c>
      <c r="H94" s="543">
        <f t="shared" si="6"/>
        <v>179.77211</v>
      </c>
      <c r="I94" s="468">
        <v>0</v>
      </c>
      <c r="J94" s="468">
        <f>25.68173*7</f>
        <v>179.77211</v>
      </c>
      <c r="K94" s="468">
        <v>0</v>
      </c>
      <c r="L94" s="468">
        <v>0</v>
      </c>
      <c r="M94" s="558">
        <v>0</v>
      </c>
    </row>
    <row r="95" spans="2:15" ht="33" x14ac:dyDescent="0.25">
      <c r="B95" s="492" t="s">
        <v>451</v>
      </c>
      <c r="C95" s="674"/>
      <c r="D95" s="540"/>
      <c r="E95" s="540"/>
      <c r="F95" s="490"/>
      <c r="G95" s="563" t="s">
        <v>337</v>
      </c>
      <c r="H95" s="543">
        <f t="shared" si="6"/>
        <v>77.045190000000005</v>
      </c>
      <c r="I95" s="468">
        <v>0</v>
      </c>
      <c r="J95" s="468">
        <f>25.68173*3</f>
        <v>77.045190000000005</v>
      </c>
      <c r="K95" s="468">
        <v>0</v>
      </c>
      <c r="L95" s="468">
        <v>0</v>
      </c>
      <c r="M95" s="558">
        <v>0</v>
      </c>
    </row>
    <row r="96" spans="2:15" ht="33" x14ac:dyDescent="0.25">
      <c r="B96" s="492" t="s">
        <v>452</v>
      </c>
      <c r="C96" s="674"/>
      <c r="D96" s="540"/>
      <c r="E96" s="540"/>
      <c r="F96" s="490"/>
      <c r="G96" s="563" t="s">
        <v>207</v>
      </c>
      <c r="H96" s="543">
        <f t="shared" si="6"/>
        <v>25.681730000000002</v>
      </c>
      <c r="I96" s="468">
        <v>0</v>
      </c>
      <c r="J96" s="468">
        <f>25.68173*1</f>
        <v>25.681730000000002</v>
      </c>
      <c r="K96" s="468">
        <v>0</v>
      </c>
      <c r="L96" s="468">
        <v>0</v>
      </c>
      <c r="M96" s="558">
        <v>0</v>
      </c>
    </row>
    <row r="97" spans="2:14" ht="33" x14ac:dyDescent="0.25">
      <c r="B97" s="492" t="s">
        <v>455</v>
      </c>
      <c r="C97" s="674"/>
      <c r="D97" s="540"/>
      <c r="E97" s="540"/>
      <c r="F97" s="490"/>
      <c r="G97" s="563" t="s">
        <v>207</v>
      </c>
      <c r="H97" s="543">
        <f t="shared" si="6"/>
        <v>25.681730000000002</v>
      </c>
      <c r="I97" s="468">
        <v>0</v>
      </c>
      <c r="J97" s="468">
        <f>25.68173*1</f>
        <v>25.681730000000002</v>
      </c>
      <c r="K97" s="468">
        <v>0</v>
      </c>
      <c r="L97" s="468">
        <v>0</v>
      </c>
      <c r="M97" s="558">
        <v>0</v>
      </c>
    </row>
    <row r="98" spans="2:14" ht="33" x14ac:dyDescent="0.25">
      <c r="B98" s="492" t="s">
        <v>453</v>
      </c>
      <c r="C98" s="674"/>
      <c r="D98" s="540"/>
      <c r="E98" s="540"/>
      <c r="F98" s="490"/>
      <c r="G98" s="563" t="s">
        <v>207</v>
      </c>
      <c r="H98" s="543">
        <f t="shared" si="6"/>
        <v>25.681730000000002</v>
      </c>
      <c r="I98" s="468">
        <v>0</v>
      </c>
      <c r="J98" s="468">
        <f>25.68173*1</f>
        <v>25.681730000000002</v>
      </c>
      <c r="K98" s="468">
        <v>0</v>
      </c>
      <c r="L98" s="468">
        <v>0</v>
      </c>
      <c r="M98" s="558">
        <v>0</v>
      </c>
    </row>
    <row r="99" spans="2:14" ht="33" x14ac:dyDescent="0.25">
      <c r="B99" s="492" t="s">
        <v>454</v>
      </c>
      <c r="C99" s="674"/>
      <c r="D99" s="540"/>
      <c r="E99" s="540"/>
      <c r="F99" s="490"/>
      <c r="G99" s="563" t="s">
        <v>207</v>
      </c>
      <c r="H99" s="543">
        <f t="shared" ref="H99:H107" si="7">SUM(I99:M99)</f>
        <v>25.681730000000002</v>
      </c>
      <c r="I99" s="468">
        <v>0</v>
      </c>
      <c r="J99" s="468">
        <f>25.68173*1</f>
        <v>25.681730000000002</v>
      </c>
      <c r="K99" s="468">
        <v>0</v>
      </c>
      <c r="L99" s="468">
        <v>0</v>
      </c>
      <c r="M99" s="558">
        <v>0</v>
      </c>
    </row>
    <row r="100" spans="2:14" ht="33" x14ac:dyDescent="0.25">
      <c r="B100" s="492" t="s">
        <v>470</v>
      </c>
      <c r="C100" s="674"/>
      <c r="D100" s="540"/>
      <c r="E100" s="540"/>
      <c r="F100" s="490"/>
      <c r="G100" s="563" t="s">
        <v>207</v>
      </c>
      <c r="H100" s="543">
        <f t="shared" si="7"/>
        <v>25.681730000000002</v>
      </c>
      <c r="I100" s="468">
        <v>0</v>
      </c>
      <c r="J100" s="468">
        <f>25.68173*1</f>
        <v>25.681730000000002</v>
      </c>
      <c r="K100" s="468">
        <v>0</v>
      </c>
      <c r="L100" s="468">
        <v>0</v>
      </c>
      <c r="M100" s="558">
        <v>0</v>
      </c>
    </row>
    <row r="101" spans="2:14" ht="33" x14ac:dyDescent="0.25">
      <c r="B101" s="492" t="s">
        <v>480</v>
      </c>
      <c r="C101" s="674"/>
      <c r="D101" s="540"/>
      <c r="E101" s="540"/>
      <c r="F101" s="490"/>
      <c r="G101" s="563" t="s">
        <v>337</v>
      </c>
      <c r="H101" s="543">
        <f t="shared" si="7"/>
        <v>77.045190000000005</v>
      </c>
      <c r="I101" s="468">
        <v>0</v>
      </c>
      <c r="J101" s="468">
        <f>25.68173*3</f>
        <v>77.045190000000005</v>
      </c>
      <c r="K101" s="468">
        <v>0</v>
      </c>
      <c r="L101" s="468">
        <v>0</v>
      </c>
      <c r="M101" s="558">
        <v>0</v>
      </c>
    </row>
    <row r="102" spans="2:14" ht="33" x14ac:dyDescent="0.25">
      <c r="B102" s="492" t="s">
        <v>481</v>
      </c>
      <c r="C102" s="674"/>
      <c r="D102" s="540"/>
      <c r="E102" s="540"/>
      <c r="F102" s="490"/>
      <c r="G102" s="563" t="s">
        <v>207</v>
      </c>
      <c r="H102" s="543">
        <f t="shared" si="7"/>
        <v>25.681730000000002</v>
      </c>
      <c r="I102" s="468">
        <v>0</v>
      </c>
      <c r="J102" s="468">
        <f>25.68173*1</f>
        <v>25.681730000000002</v>
      </c>
      <c r="K102" s="468">
        <v>0</v>
      </c>
      <c r="L102" s="468">
        <v>0</v>
      </c>
      <c r="M102" s="558">
        <v>0</v>
      </c>
    </row>
    <row r="103" spans="2:14" ht="33" x14ac:dyDescent="0.25">
      <c r="B103" s="492" t="s">
        <v>484</v>
      </c>
      <c r="C103" s="674"/>
      <c r="D103" s="540"/>
      <c r="E103" s="540"/>
      <c r="F103" s="490"/>
      <c r="G103" s="563" t="s">
        <v>207</v>
      </c>
      <c r="H103" s="543">
        <f>SUM(I103:M103)</f>
        <v>25.681730000000002</v>
      </c>
      <c r="I103" s="468">
        <v>0</v>
      </c>
      <c r="J103" s="468">
        <f>25.68173*1</f>
        <v>25.681730000000002</v>
      </c>
      <c r="K103" s="468">
        <v>0</v>
      </c>
      <c r="L103" s="468">
        <v>0</v>
      </c>
      <c r="M103" s="558">
        <v>0</v>
      </c>
    </row>
    <row r="104" spans="2:14" ht="33" x14ac:dyDescent="0.25">
      <c r="B104" s="492" t="s">
        <v>486</v>
      </c>
      <c r="C104" s="674"/>
      <c r="D104" s="540"/>
      <c r="E104" s="540"/>
      <c r="F104" s="490"/>
      <c r="G104" s="563" t="s">
        <v>333</v>
      </c>
      <c r="H104" s="543">
        <f t="shared" si="7"/>
        <v>51.363460000000003</v>
      </c>
      <c r="I104" s="468">
        <v>0</v>
      </c>
      <c r="J104" s="468">
        <f>25.68173*2</f>
        <v>51.363460000000003</v>
      </c>
      <c r="K104" s="468">
        <v>0</v>
      </c>
      <c r="L104" s="468">
        <v>0</v>
      </c>
      <c r="M104" s="558">
        <v>0</v>
      </c>
    </row>
    <row r="105" spans="2:14" ht="33" x14ac:dyDescent="0.25">
      <c r="B105" s="492" t="s">
        <v>473</v>
      </c>
      <c r="C105" s="674"/>
      <c r="D105" s="540"/>
      <c r="E105" s="540"/>
      <c r="F105" s="490"/>
      <c r="G105" s="563" t="s">
        <v>333</v>
      </c>
      <c r="H105" s="543">
        <f t="shared" si="7"/>
        <v>51.363460000000003</v>
      </c>
      <c r="I105" s="468">
        <v>0</v>
      </c>
      <c r="J105" s="468">
        <f>25.68173*2</f>
        <v>51.363460000000003</v>
      </c>
      <c r="K105" s="468">
        <v>0</v>
      </c>
      <c r="L105" s="468">
        <v>0</v>
      </c>
      <c r="M105" s="558">
        <v>0</v>
      </c>
    </row>
    <row r="106" spans="2:14" ht="33" x14ac:dyDescent="0.25">
      <c r="B106" s="492" t="s">
        <v>506</v>
      </c>
      <c r="C106" s="674"/>
      <c r="D106" s="540"/>
      <c r="E106" s="540"/>
      <c r="F106" s="490"/>
      <c r="G106" s="563" t="s">
        <v>207</v>
      </c>
      <c r="H106" s="543">
        <f t="shared" si="7"/>
        <v>25.681730000000002</v>
      </c>
      <c r="I106" s="468">
        <v>0</v>
      </c>
      <c r="J106" s="468">
        <f>25.68173*1</f>
        <v>25.681730000000002</v>
      </c>
      <c r="K106" s="468">
        <v>0</v>
      </c>
      <c r="L106" s="468">
        <v>0</v>
      </c>
      <c r="M106" s="558">
        <v>0</v>
      </c>
    </row>
    <row r="107" spans="2:14" ht="33" x14ac:dyDescent="0.25">
      <c r="B107" s="492" t="s">
        <v>501</v>
      </c>
      <c r="C107" s="674"/>
      <c r="D107" s="540"/>
      <c r="E107" s="540"/>
      <c r="F107" s="490"/>
      <c r="G107" s="563" t="s">
        <v>207</v>
      </c>
      <c r="H107" s="543">
        <f t="shared" si="7"/>
        <v>25.681730000000002</v>
      </c>
      <c r="I107" s="468">
        <v>0</v>
      </c>
      <c r="J107" s="468">
        <f>25.68173*1</f>
        <v>25.681730000000002</v>
      </c>
      <c r="K107" s="468">
        <v>0</v>
      </c>
      <c r="L107" s="468">
        <v>0</v>
      </c>
      <c r="M107" s="558">
        <v>0</v>
      </c>
    </row>
    <row r="108" spans="2:14" ht="33" x14ac:dyDescent="0.25">
      <c r="B108" s="492" t="s">
        <v>502</v>
      </c>
      <c r="C108" s="674"/>
      <c r="D108" s="540"/>
      <c r="E108" s="540"/>
      <c r="F108" s="490"/>
      <c r="G108" s="563" t="s">
        <v>207</v>
      </c>
      <c r="H108" s="543">
        <f t="shared" ref="H108:H118" si="8">SUM(I108:M108)</f>
        <v>25.681730000000002</v>
      </c>
      <c r="I108" s="468">
        <v>0</v>
      </c>
      <c r="J108" s="468">
        <f>25.68173*1</f>
        <v>25.681730000000002</v>
      </c>
      <c r="K108" s="468">
        <v>0</v>
      </c>
      <c r="L108" s="468">
        <v>0</v>
      </c>
      <c r="M108" s="558">
        <v>0</v>
      </c>
    </row>
    <row r="109" spans="2:14" ht="33" x14ac:dyDescent="0.25">
      <c r="B109" s="492" t="s">
        <v>503</v>
      </c>
      <c r="C109" s="674"/>
      <c r="D109" s="540"/>
      <c r="E109" s="540"/>
      <c r="F109" s="490"/>
      <c r="G109" s="563" t="s">
        <v>207</v>
      </c>
      <c r="H109" s="543">
        <f t="shared" si="8"/>
        <v>25.681730000000002</v>
      </c>
      <c r="I109" s="468">
        <v>0</v>
      </c>
      <c r="J109" s="468">
        <f>25.68173*1</f>
        <v>25.681730000000002</v>
      </c>
      <c r="K109" s="468">
        <v>0</v>
      </c>
      <c r="L109" s="468">
        <v>0</v>
      </c>
      <c r="M109" s="558">
        <v>0</v>
      </c>
    </row>
    <row r="110" spans="2:14" ht="33" x14ac:dyDescent="0.25">
      <c r="B110" s="492" t="s">
        <v>504</v>
      </c>
      <c r="C110" s="674"/>
      <c r="D110" s="540"/>
      <c r="E110" s="540"/>
      <c r="F110" s="490"/>
      <c r="G110" s="563" t="s">
        <v>207</v>
      </c>
      <c r="H110" s="543">
        <f t="shared" si="8"/>
        <v>25.681730000000002</v>
      </c>
      <c r="I110" s="468">
        <v>0</v>
      </c>
      <c r="J110" s="468">
        <f>25.68173*1</f>
        <v>25.681730000000002</v>
      </c>
      <c r="K110" s="468">
        <v>0</v>
      </c>
      <c r="L110" s="468">
        <v>0</v>
      </c>
      <c r="M110" s="558">
        <v>0</v>
      </c>
    </row>
    <row r="111" spans="2:14" ht="33" x14ac:dyDescent="0.25">
      <c r="B111" s="492" t="s">
        <v>394</v>
      </c>
      <c r="C111" s="674"/>
      <c r="D111" s="540"/>
      <c r="E111" s="540"/>
      <c r="F111" s="490" t="s">
        <v>224</v>
      </c>
      <c r="G111" s="563" t="s">
        <v>224</v>
      </c>
      <c r="H111" s="543">
        <f t="shared" si="8"/>
        <v>599.72400000000005</v>
      </c>
      <c r="I111" s="470">
        <v>599.72400000000005</v>
      </c>
      <c r="J111" s="468">
        <v>0</v>
      </c>
      <c r="K111" s="468">
        <v>0</v>
      </c>
      <c r="L111" s="468">
        <v>0</v>
      </c>
      <c r="M111" s="558">
        <v>0</v>
      </c>
      <c r="N111" s="267"/>
    </row>
    <row r="112" spans="2:14" x14ac:dyDescent="0.25">
      <c r="B112" s="492" t="s">
        <v>395</v>
      </c>
      <c r="C112" s="674"/>
      <c r="D112" s="540"/>
      <c r="E112" s="540"/>
      <c r="F112" s="490" t="s">
        <v>224</v>
      </c>
      <c r="G112" s="563" t="s">
        <v>224</v>
      </c>
      <c r="H112" s="543">
        <f t="shared" si="8"/>
        <v>599.66639999999995</v>
      </c>
      <c r="I112" s="470">
        <v>599.66639999999995</v>
      </c>
      <c r="J112" s="468">
        <v>0</v>
      </c>
      <c r="K112" s="468">
        <v>0</v>
      </c>
      <c r="L112" s="468">
        <v>0</v>
      </c>
      <c r="M112" s="558">
        <v>0</v>
      </c>
      <c r="N112" s="267"/>
    </row>
    <row r="113" spans="2:15" ht="49.5" x14ac:dyDescent="0.25">
      <c r="B113" s="492" t="s">
        <v>397</v>
      </c>
      <c r="C113" s="674"/>
      <c r="D113" s="540"/>
      <c r="E113" s="540"/>
      <c r="F113" s="490" t="s">
        <v>224</v>
      </c>
      <c r="G113" s="563" t="s">
        <v>224</v>
      </c>
      <c r="H113" s="543">
        <f t="shared" si="8"/>
        <v>212.51168000000001</v>
      </c>
      <c r="I113" s="470">
        <v>212.51168000000001</v>
      </c>
      <c r="J113" s="468">
        <v>0</v>
      </c>
      <c r="K113" s="468">
        <v>0</v>
      </c>
      <c r="L113" s="468">
        <v>0</v>
      </c>
      <c r="M113" s="558">
        <v>0</v>
      </c>
      <c r="N113" s="267"/>
    </row>
    <row r="114" spans="2:15" ht="66" x14ac:dyDescent="0.25">
      <c r="B114" s="492" t="s">
        <v>396</v>
      </c>
      <c r="C114" s="674"/>
      <c r="D114" s="540"/>
      <c r="E114" s="540"/>
      <c r="F114" s="490" t="s">
        <v>224</v>
      </c>
      <c r="G114" s="563" t="s">
        <v>224</v>
      </c>
      <c r="H114" s="543">
        <f t="shared" si="8"/>
        <v>98</v>
      </c>
      <c r="I114" s="470">
        <v>98</v>
      </c>
      <c r="J114" s="468">
        <v>0</v>
      </c>
      <c r="K114" s="468">
        <v>0</v>
      </c>
      <c r="L114" s="468">
        <v>0</v>
      </c>
      <c r="M114" s="558">
        <v>0</v>
      </c>
      <c r="N114" s="267"/>
    </row>
    <row r="115" spans="2:15" ht="49.5" x14ac:dyDescent="0.25">
      <c r="B115" s="492" t="s">
        <v>704</v>
      </c>
      <c r="C115" s="674"/>
      <c r="D115" s="540"/>
      <c r="E115" s="540"/>
      <c r="F115" s="490" t="s">
        <v>224</v>
      </c>
      <c r="G115" s="563" t="s">
        <v>224</v>
      </c>
      <c r="H115" s="543">
        <f t="shared" si="8"/>
        <v>65</v>
      </c>
      <c r="I115" s="470">
        <v>65</v>
      </c>
      <c r="J115" s="468">
        <v>0</v>
      </c>
      <c r="K115" s="468">
        <v>0</v>
      </c>
      <c r="L115" s="468">
        <v>0</v>
      </c>
      <c r="M115" s="558">
        <v>0</v>
      </c>
      <c r="N115" s="267"/>
    </row>
    <row r="116" spans="2:15" ht="33" x14ac:dyDescent="0.25">
      <c r="B116" s="492" t="s">
        <v>425</v>
      </c>
      <c r="C116" s="674"/>
      <c r="D116" s="540"/>
      <c r="E116" s="540"/>
      <c r="F116" s="490" t="s">
        <v>224</v>
      </c>
      <c r="G116" s="563" t="s">
        <v>224</v>
      </c>
      <c r="H116" s="543">
        <f t="shared" si="8"/>
        <v>1917.0905399999999</v>
      </c>
      <c r="I116" s="564">
        <v>1917.0905399999999</v>
      </c>
      <c r="J116" s="468">
        <v>0</v>
      </c>
      <c r="K116" s="468">
        <v>0</v>
      </c>
      <c r="L116" s="468">
        <v>0</v>
      </c>
      <c r="M116" s="558">
        <v>0</v>
      </c>
      <c r="N116" s="267"/>
    </row>
    <row r="117" spans="2:15" ht="33" x14ac:dyDescent="0.25">
      <c r="B117" s="492" t="s">
        <v>398</v>
      </c>
      <c r="C117" s="674"/>
      <c r="D117" s="540"/>
      <c r="E117" s="540"/>
      <c r="F117" s="490" t="s">
        <v>224</v>
      </c>
      <c r="G117" s="563" t="s">
        <v>224</v>
      </c>
      <c r="H117" s="543">
        <f t="shared" si="8"/>
        <v>99.858000000000004</v>
      </c>
      <c r="I117" s="564">
        <v>99.858000000000004</v>
      </c>
      <c r="J117" s="468">
        <v>0</v>
      </c>
      <c r="K117" s="468">
        <v>0</v>
      </c>
      <c r="L117" s="468">
        <v>0</v>
      </c>
      <c r="M117" s="558">
        <v>0</v>
      </c>
      <c r="N117" s="267"/>
    </row>
    <row r="118" spans="2:15" ht="33" x14ac:dyDescent="0.25">
      <c r="B118" s="492" t="s">
        <v>399</v>
      </c>
      <c r="C118" s="674"/>
      <c r="D118" s="540"/>
      <c r="E118" s="540"/>
      <c r="F118" s="490" t="s">
        <v>224</v>
      </c>
      <c r="G118" s="563" t="s">
        <v>224</v>
      </c>
      <c r="H118" s="543">
        <f t="shared" si="8"/>
        <v>450</v>
      </c>
      <c r="I118" s="564">
        <v>450</v>
      </c>
      <c r="J118" s="468">
        <v>0</v>
      </c>
      <c r="K118" s="468">
        <v>0</v>
      </c>
      <c r="L118" s="468">
        <v>0</v>
      </c>
      <c r="M118" s="558">
        <v>0</v>
      </c>
      <c r="N118" s="267"/>
    </row>
    <row r="119" spans="2:15" s="277" customFormat="1" ht="33" x14ac:dyDescent="0.25">
      <c r="B119" s="492" t="s">
        <v>636</v>
      </c>
      <c r="C119" s="674"/>
      <c r="D119" s="540"/>
      <c r="E119" s="540"/>
      <c r="F119" s="490">
        <f>1720*14</f>
        <v>24080</v>
      </c>
      <c r="G119" s="557">
        <v>1.72</v>
      </c>
      <c r="H119" s="543">
        <f t="shared" si="5"/>
        <v>33160</v>
      </c>
      <c r="I119" s="468">
        <v>0</v>
      </c>
      <c r="J119" s="465">
        <v>33160</v>
      </c>
      <c r="K119" s="465">
        <v>0</v>
      </c>
      <c r="L119" s="468">
        <v>0</v>
      </c>
      <c r="M119" s="483">
        <v>0</v>
      </c>
      <c r="N119" s="276"/>
      <c r="O119" s="277" t="s">
        <v>181</v>
      </c>
    </row>
    <row r="120" spans="2:15" s="277" customFormat="1" ht="33" x14ac:dyDescent="0.25">
      <c r="B120" s="492" t="s">
        <v>448</v>
      </c>
      <c r="C120" s="674"/>
      <c r="D120" s="540"/>
      <c r="E120" s="540"/>
      <c r="F120" s="490" t="s">
        <v>224</v>
      </c>
      <c r="G120" s="482" t="s">
        <v>224</v>
      </c>
      <c r="H120" s="543">
        <f t="shared" si="5"/>
        <v>212.51168000000001</v>
      </c>
      <c r="I120" s="468">
        <v>0</v>
      </c>
      <c r="J120" s="465">
        <v>212.51168000000001</v>
      </c>
      <c r="K120" s="465">
        <v>0</v>
      </c>
      <c r="L120" s="468">
        <v>0</v>
      </c>
      <c r="M120" s="483">
        <v>0</v>
      </c>
      <c r="N120" s="276"/>
    </row>
    <row r="121" spans="2:15" s="279" customFormat="1" ht="53.25" customHeight="1" x14ac:dyDescent="0.25">
      <c r="B121" s="492" t="s">
        <v>231</v>
      </c>
      <c r="C121" s="674"/>
      <c r="D121" s="540"/>
      <c r="E121" s="540"/>
      <c r="F121" s="490"/>
      <c r="G121" s="482" t="s">
        <v>207</v>
      </c>
      <c r="H121" s="543">
        <f t="shared" si="5"/>
        <v>2686.5</v>
      </c>
      <c r="I121" s="465">
        <v>2686.5</v>
      </c>
      <c r="J121" s="469">
        <v>0</v>
      </c>
      <c r="K121" s="469">
        <v>0</v>
      </c>
      <c r="L121" s="469">
        <v>0</v>
      </c>
      <c r="M121" s="565">
        <v>0</v>
      </c>
      <c r="N121" s="278"/>
    </row>
    <row r="122" spans="2:15" s="279" customFormat="1" ht="49.5" x14ac:dyDescent="0.25">
      <c r="B122" s="492" t="s">
        <v>236</v>
      </c>
      <c r="C122" s="674"/>
      <c r="D122" s="540"/>
      <c r="E122" s="540"/>
      <c r="F122" s="490"/>
      <c r="G122" s="482" t="s">
        <v>207</v>
      </c>
      <c r="H122" s="543">
        <f t="shared" si="5"/>
        <v>2686.5</v>
      </c>
      <c r="I122" s="465">
        <v>2686.5</v>
      </c>
      <c r="J122" s="469">
        <v>0</v>
      </c>
      <c r="K122" s="469">
        <v>0</v>
      </c>
      <c r="L122" s="469">
        <v>0</v>
      </c>
      <c r="M122" s="565">
        <v>0</v>
      </c>
      <c r="N122" s="280"/>
    </row>
    <row r="123" spans="2:15" s="279" customFormat="1" ht="49.5" x14ac:dyDescent="0.25">
      <c r="B123" s="492" t="s">
        <v>232</v>
      </c>
      <c r="C123" s="674"/>
      <c r="D123" s="540"/>
      <c r="E123" s="540"/>
      <c r="F123" s="490"/>
      <c r="G123" s="482" t="s">
        <v>207</v>
      </c>
      <c r="H123" s="543">
        <f t="shared" si="5"/>
        <v>2686.5</v>
      </c>
      <c r="I123" s="465">
        <v>2686.5</v>
      </c>
      <c r="J123" s="469">
        <v>0</v>
      </c>
      <c r="K123" s="469">
        <v>0</v>
      </c>
      <c r="L123" s="469">
        <v>0</v>
      </c>
      <c r="M123" s="565">
        <v>0</v>
      </c>
      <c r="N123" s="280"/>
    </row>
    <row r="124" spans="2:15" s="279" customFormat="1" ht="49.5" x14ac:dyDescent="0.25">
      <c r="B124" s="492" t="s">
        <v>233</v>
      </c>
      <c r="C124" s="674"/>
      <c r="D124" s="540"/>
      <c r="E124" s="540"/>
      <c r="F124" s="490"/>
      <c r="G124" s="482" t="s">
        <v>207</v>
      </c>
      <c r="H124" s="543">
        <f t="shared" si="5"/>
        <v>2686.5</v>
      </c>
      <c r="I124" s="465">
        <v>2686.5</v>
      </c>
      <c r="J124" s="469">
        <v>0</v>
      </c>
      <c r="K124" s="469">
        <v>0</v>
      </c>
      <c r="L124" s="469">
        <v>0</v>
      </c>
      <c r="M124" s="565">
        <v>0</v>
      </c>
      <c r="N124" s="280"/>
    </row>
    <row r="125" spans="2:15" s="279" customFormat="1" ht="49.5" x14ac:dyDescent="0.25">
      <c r="B125" s="492" t="s">
        <v>234</v>
      </c>
      <c r="C125" s="674"/>
      <c r="D125" s="540"/>
      <c r="E125" s="540"/>
      <c r="F125" s="490"/>
      <c r="G125" s="482" t="s">
        <v>207</v>
      </c>
      <c r="H125" s="543">
        <f t="shared" si="5"/>
        <v>2686.5</v>
      </c>
      <c r="I125" s="465">
        <v>2686.5</v>
      </c>
      <c r="J125" s="469">
        <v>0</v>
      </c>
      <c r="K125" s="469">
        <v>0</v>
      </c>
      <c r="L125" s="469">
        <v>0</v>
      </c>
      <c r="M125" s="565">
        <v>0</v>
      </c>
      <c r="N125" s="280"/>
    </row>
    <row r="126" spans="2:15" s="279" customFormat="1" ht="49.5" x14ac:dyDescent="0.25">
      <c r="B126" s="492" t="s">
        <v>235</v>
      </c>
      <c r="C126" s="674"/>
      <c r="D126" s="540"/>
      <c r="E126" s="540"/>
      <c r="F126" s="490"/>
      <c r="G126" s="482" t="s">
        <v>207</v>
      </c>
      <c r="H126" s="543">
        <f t="shared" si="5"/>
        <v>2686.5</v>
      </c>
      <c r="I126" s="465">
        <v>2686.5</v>
      </c>
      <c r="J126" s="469">
        <v>0</v>
      </c>
      <c r="K126" s="469">
        <v>0</v>
      </c>
      <c r="L126" s="469">
        <v>0</v>
      </c>
      <c r="M126" s="565">
        <v>0</v>
      </c>
      <c r="N126" s="280"/>
    </row>
    <row r="127" spans="2:15" s="279" customFormat="1" x14ac:dyDescent="0.25">
      <c r="B127" s="492" t="s">
        <v>206</v>
      </c>
      <c r="C127" s="674"/>
      <c r="D127" s="540"/>
      <c r="E127" s="540"/>
      <c r="F127" s="490"/>
      <c r="G127" s="482"/>
      <c r="H127" s="543">
        <f t="shared" si="5"/>
        <v>12420.168001999999</v>
      </c>
      <c r="I127" s="465">
        <f>19694.0388-7273.870798</f>
        <v>12420.168001999999</v>
      </c>
      <c r="J127" s="469">
        <v>0</v>
      </c>
      <c r="K127" s="469">
        <v>0</v>
      </c>
      <c r="L127" s="469">
        <v>0</v>
      </c>
      <c r="M127" s="565">
        <v>0</v>
      </c>
      <c r="N127" s="280"/>
    </row>
    <row r="128" spans="2:15" s="279" customFormat="1" x14ac:dyDescent="0.25">
      <c r="B128" s="492" t="str">
        <f>'перечень объектов'!B244</f>
        <v>Ремонт ул. Васильевская</v>
      </c>
      <c r="C128" s="674"/>
      <c r="D128" s="540"/>
      <c r="E128" s="540"/>
      <c r="F128" s="490">
        <v>20480</v>
      </c>
      <c r="G128" s="482">
        <v>2.56</v>
      </c>
      <c r="H128" s="543">
        <f t="shared" si="5"/>
        <v>55700</v>
      </c>
      <c r="I128" s="466">
        <v>0</v>
      </c>
      <c r="J128" s="469">
        <v>0</v>
      </c>
      <c r="K128" s="469">
        <f>'перечень объектов'!C244</f>
        <v>55700</v>
      </c>
      <c r="L128" s="469">
        <v>0</v>
      </c>
      <c r="M128" s="565">
        <v>0</v>
      </c>
      <c r="N128" s="280"/>
    </row>
    <row r="129" spans="1:15" s="279" customFormat="1" ht="35.25" customHeight="1" x14ac:dyDescent="0.25">
      <c r="B129" s="492" t="str">
        <f>'перечень объектов'!B245</f>
        <v xml:space="preserve">Кромское шоссе на участке от пересечения с ул. Высоковольтная до границ города Орла </v>
      </c>
      <c r="C129" s="674"/>
      <c r="D129" s="540"/>
      <c r="E129" s="540"/>
      <c r="F129" s="490">
        <v>17572</v>
      </c>
      <c r="G129" s="482">
        <v>1.048</v>
      </c>
      <c r="H129" s="543">
        <f t="shared" si="5"/>
        <v>15300</v>
      </c>
      <c r="I129" s="466">
        <v>0</v>
      </c>
      <c r="J129" s="469">
        <v>0</v>
      </c>
      <c r="K129" s="469">
        <f>'перечень объектов'!C245</f>
        <v>15300</v>
      </c>
      <c r="L129" s="469">
        <v>0</v>
      </c>
      <c r="M129" s="565">
        <v>0</v>
      </c>
      <c r="N129" s="280"/>
    </row>
    <row r="130" spans="1:15" s="279" customFormat="1" x14ac:dyDescent="0.25">
      <c r="B130" s="492" t="s">
        <v>26</v>
      </c>
      <c r="C130" s="674"/>
      <c r="D130" s="540"/>
      <c r="E130" s="540"/>
      <c r="F130" s="541"/>
      <c r="G130" s="566"/>
      <c r="H130" s="543">
        <f t="shared" si="5"/>
        <v>20945.347478</v>
      </c>
      <c r="I130" s="466">
        <f>4987.8884+7110.0844+7273.870798</f>
        <v>19371.843597999999</v>
      </c>
      <c r="J130" s="466">
        <v>1573.50388</v>
      </c>
      <c r="K130" s="466">
        <v>0</v>
      </c>
      <c r="L130" s="466">
        <v>0</v>
      </c>
      <c r="M130" s="483">
        <v>0</v>
      </c>
      <c r="N130" s="281"/>
    </row>
    <row r="131" spans="1:15" ht="33" x14ac:dyDescent="0.25">
      <c r="B131" s="492" t="s">
        <v>27</v>
      </c>
      <c r="C131" s="675"/>
      <c r="D131" s="540"/>
      <c r="E131" s="540"/>
      <c r="F131" s="541"/>
      <c r="G131" s="566"/>
      <c r="H131" s="543">
        <f t="shared" si="5"/>
        <v>20325.957860000002</v>
      </c>
      <c r="I131" s="466">
        <f>1052.43926+9370.03028</f>
        <v>10422.469540000002</v>
      </c>
      <c r="J131" s="466">
        <f>1300-212.51168</f>
        <v>1087.4883199999999</v>
      </c>
      <c r="K131" s="464">
        <f>3010+264+170</f>
        <v>3444</v>
      </c>
      <c r="L131" s="471">
        <v>1425</v>
      </c>
      <c r="M131" s="548">
        <v>3947</v>
      </c>
      <c r="N131" s="280"/>
      <c r="O131" s="279"/>
    </row>
    <row r="132" spans="1:15" x14ac:dyDescent="0.25">
      <c r="B132" s="492" t="s">
        <v>28</v>
      </c>
      <c r="C132" s="540"/>
      <c r="D132" s="540"/>
      <c r="E132" s="540"/>
      <c r="F132" s="541"/>
      <c r="G132" s="542"/>
      <c r="H132" s="543">
        <f t="shared" si="5"/>
        <v>14999.999999999985</v>
      </c>
      <c r="I132" s="466">
        <f>28572.742+40996.9056+9409.2336+52102.18855+1714+5900-33608.78788-105086.28187+15000</f>
        <v>14999.999999999985</v>
      </c>
      <c r="J132" s="466">
        <v>0</v>
      </c>
      <c r="K132" s="466">
        <v>0</v>
      </c>
      <c r="L132" s="466">
        <v>0</v>
      </c>
      <c r="M132" s="483">
        <v>0</v>
      </c>
      <c r="N132" s="280"/>
      <c r="O132" s="279"/>
    </row>
    <row r="133" spans="1:15" ht="17.25" x14ac:dyDescent="0.25">
      <c r="B133" s="549" t="s">
        <v>16</v>
      </c>
      <c r="C133" s="540"/>
      <c r="D133" s="540"/>
      <c r="E133" s="540"/>
      <c r="F133" s="541"/>
      <c r="G133" s="567"/>
      <c r="H133" s="464"/>
      <c r="I133" s="741"/>
      <c r="J133" s="742"/>
      <c r="K133" s="742"/>
      <c r="L133" s="742"/>
      <c r="M133" s="743"/>
      <c r="N133" s="280"/>
      <c r="O133" s="279"/>
    </row>
    <row r="134" spans="1:15" x14ac:dyDescent="0.25">
      <c r="B134" s="492" t="s">
        <v>77</v>
      </c>
      <c r="C134" s="540"/>
      <c r="D134" s="540"/>
      <c r="E134" s="540"/>
      <c r="F134" s="541"/>
      <c r="G134" s="567"/>
      <c r="H134" s="466">
        <f>SUM(I134:M134)</f>
        <v>0</v>
      </c>
      <c r="I134" s="568">
        <v>0</v>
      </c>
      <c r="J134" s="470">
        <v>0</v>
      </c>
      <c r="K134" s="470">
        <v>0</v>
      </c>
      <c r="L134" s="470">
        <v>0</v>
      </c>
      <c r="M134" s="569">
        <v>0</v>
      </c>
      <c r="N134" s="280"/>
      <c r="O134" s="279"/>
    </row>
    <row r="135" spans="1:15" x14ac:dyDescent="0.25">
      <c r="B135" s="492" t="s">
        <v>9</v>
      </c>
      <c r="C135" s="540"/>
      <c r="D135" s="540"/>
      <c r="E135" s="540"/>
      <c r="F135" s="541"/>
      <c r="G135" s="570"/>
      <c r="H135" s="466">
        <f>SUM(I135:M135)</f>
        <v>495035.53022880002</v>
      </c>
      <c r="I135" s="466">
        <v>215554.46233860002</v>
      </c>
      <c r="J135" s="466">
        <f>'перечень объектов'!F149</f>
        <v>45620.21709630001</v>
      </c>
      <c r="K135" s="464">
        <f>'перечень объектов'!F231</f>
        <v>133860.85079399997</v>
      </c>
      <c r="L135" s="470">
        <f>'перечень объектов'!F345</f>
        <v>0</v>
      </c>
      <c r="M135" s="569">
        <f>'перечень объектов'!F457</f>
        <v>99999.999999899999</v>
      </c>
      <c r="N135" s="280"/>
    </row>
    <row r="136" spans="1:15" s="282" customFormat="1" x14ac:dyDescent="0.25">
      <c r="A136" s="251"/>
      <c r="B136" s="492" t="s">
        <v>10</v>
      </c>
      <c r="C136" s="540"/>
      <c r="D136" s="540"/>
      <c r="E136" s="540"/>
      <c r="F136" s="541"/>
      <c r="G136" s="466"/>
      <c r="H136" s="466">
        <f>SUM(I136:M136)</f>
        <v>96449.441089799991</v>
      </c>
      <c r="I136" s="466">
        <v>12510.4</v>
      </c>
      <c r="J136" s="466">
        <f>'перечень объектов'!G149</f>
        <v>1760.8102736999981</v>
      </c>
      <c r="K136" s="464">
        <f>'перечень объектов'!G231</f>
        <v>75796.129805999997</v>
      </c>
      <c r="L136" s="470">
        <f>'перечень объектов'!G345</f>
        <v>1425</v>
      </c>
      <c r="M136" s="569">
        <f>'перечень объектов'!G457</f>
        <v>4957.1010100999993</v>
      </c>
      <c r="N136" s="283"/>
      <c r="O136" s="272"/>
    </row>
    <row r="137" spans="1:15" ht="17.25" x14ac:dyDescent="0.25">
      <c r="B137" s="664"/>
      <c r="C137" s="665"/>
      <c r="D137" s="665"/>
      <c r="E137" s="665"/>
      <c r="F137" s="665"/>
      <c r="G137" s="665"/>
      <c r="H137" s="665"/>
      <c r="I137" s="665"/>
      <c r="J137" s="665"/>
      <c r="K137" s="665"/>
      <c r="L137" s="665"/>
      <c r="M137" s="671"/>
      <c r="N137" s="280"/>
    </row>
    <row r="138" spans="1:15" x14ac:dyDescent="0.25">
      <c r="B138" s="550" t="s">
        <v>131</v>
      </c>
      <c r="C138" s="551"/>
      <c r="D138" s="551"/>
      <c r="E138" s="551"/>
      <c r="F138" s="661" t="s">
        <v>419</v>
      </c>
      <c r="G138" s="662"/>
      <c r="H138" s="552"/>
      <c r="I138" s="552"/>
      <c r="J138" s="552"/>
      <c r="K138" s="467"/>
      <c r="L138" s="553"/>
      <c r="M138" s="554"/>
      <c r="N138" s="280"/>
    </row>
    <row r="139" spans="1:15" ht="60" customHeight="1" x14ac:dyDescent="0.25">
      <c r="B139" s="704" t="s">
        <v>435</v>
      </c>
      <c r="C139" s="649" t="s">
        <v>679</v>
      </c>
      <c r="D139" s="676">
        <v>2022</v>
      </c>
      <c r="E139" s="679">
        <v>2026</v>
      </c>
      <c r="F139" s="663"/>
      <c r="G139" s="662"/>
      <c r="H139" s="658">
        <f t="shared" ref="H139:M139" si="9">SUM(H142:H160)</f>
        <v>1610969.0669103435</v>
      </c>
      <c r="I139" s="658">
        <f t="shared" si="9"/>
        <v>367992.78631999996</v>
      </c>
      <c r="J139" s="658">
        <f t="shared" si="9"/>
        <v>425536.45455000002</v>
      </c>
      <c r="K139" s="658">
        <f t="shared" si="9"/>
        <v>205348.21998034342</v>
      </c>
      <c r="L139" s="658">
        <f t="shared" si="9"/>
        <v>306061.30303000001</v>
      </c>
      <c r="M139" s="750">
        <f t="shared" si="9"/>
        <v>306030.30303000001</v>
      </c>
      <c r="N139" s="249"/>
      <c r="O139" s="279"/>
    </row>
    <row r="140" spans="1:15" ht="18.75" customHeight="1" x14ac:dyDescent="0.25">
      <c r="B140" s="705"/>
      <c r="C140" s="649"/>
      <c r="D140" s="710"/>
      <c r="E140" s="739"/>
      <c r="F140" s="613">
        <f>SUM(F142:F160)</f>
        <v>303914.86</v>
      </c>
      <c r="G140" s="614" t="s">
        <v>428</v>
      </c>
      <c r="H140" s="659"/>
      <c r="I140" s="659"/>
      <c r="J140" s="659"/>
      <c r="K140" s="659"/>
      <c r="L140" s="659"/>
      <c r="M140" s="751"/>
      <c r="N140" s="249"/>
      <c r="O140" s="279"/>
    </row>
    <row r="141" spans="1:15" ht="18.75" customHeight="1" x14ac:dyDescent="0.25">
      <c r="B141" s="706"/>
      <c r="C141" s="649"/>
      <c r="D141" s="711"/>
      <c r="E141" s="740"/>
      <c r="F141" s="617">
        <f>SUM(G142:G160)</f>
        <v>22.28</v>
      </c>
      <c r="G141" s="616" t="s">
        <v>418</v>
      </c>
      <c r="H141" s="660"/>
      <c r="I141" s="660"/>
      <c r="J141" s="660"/>
      <c r="K141" s="660"/>
      <c r="L141" s="660"/>
      <c r="M141" s="752"/>
      <c r="N141" s="249"/>
      <c r="O141" s="279"/>
    </row>
    <row r="142" spans="1:15" x14ac:dyDescent="0.25">
      <c r="B142" s="478" t="s">
        <v>29</v>
      </c>
      <c r="C142" s="674"/>
      <c r="D142" s="540"/>
      <c r="E142" s="540"/>
      <c r="F142" s="481">
        <v>35360</v>
      </c>
      <c r="G142" s="557">
        <v>2.2629999999999999</v>
      </c>
      <c r="H142" s="543">
        <f>SUM(I142:M142)</f>
        <v>92917.988440000001</v>
      </c>
      <c r="I142" s="466">
        <v>92917.988440000001</v>
      </c>
      <c r="J142" s="466">
        <v>0</v>
      </c>
      <c r="K142" s="464">
        <v>0</v>
      </c>
      <c r="L142" s="465">
        <v>0</v>
      </c>
      <c r="M142" s="483">
        <v>0</v>
      </c>
    </row>
    <row r="143" spans="1:15" x14ac:dyDescent="0.25">
      <c r="B143" s="478" t="s">
        <v>139</v>
      </c>
      <c r="C143" s="674"/>
      <c r="D143" s="540"/>
      <c r="E143" s="571"/>
      <c r="F143" s="481">
        <v>44398</v>
      </c>
      <c r="G143" s="557">
        <v>1.95</v>
      </c>
      <c r="H143" s="543">
        <f t="shared" ref="H143:H160" si="10">SUM(I143:M143)</f>
        <v>158534.92733999999</v>
      </c>
      <c r="I143" s="466">
        <f>169625.82003-11090.89269</f>
        <v>158534.92733999999</v>
      </c>
      <c r="J143" s="466">
        <v>0</v>
      </c>
      <c r="K143" s="464">
        <v>0</v>
      </c>
      <c r="L143" s="465">
        <v>0</v>
      </c>
      <c r="M143" s="561">
        <v>0</v>
      </c>
    </row>
    <row r="144" spans="1:15" x14ac:dyDescent="0.25">
      <c r="B144" s="478" t="s">
        <v>30</v>
      </c>
      <c r="C144" s="674"/>
      <c r="D144" s="540"/>
      <c r="E144" s="540"/>
      <c r="F144" s="481">
        <v>10350</v>
      </c>
      <c r="G144" s="557">
        <v>0.68200000000000005</v>
      </c>
      <c r="H144" s="543">
        <f t="shared" si="10"/>
        <v>32108.489030000001</v>
      </c>
      <c r="I144" s="543">
        <v>32108.489030000001</v>
      </c>
      <c r="J144" s="466">
        <v>0</v>
      </c>
      <c r="K144" s="464">
        <v>0</v>
      </c>
      <c r="L144" s="465">
        <v>0</v>
      </c>
      <c r="M144" s="561">
        <v>0</v>
      </c>
    </row>
    <row r="145" spans="2:17" s="277" customFormat="1" ht="33" x14ac:dyDescent="0.25">
      <c r="B145" s="478" t="s">
        <v>182</v>
      </c>
      <c r="C145" s="674"/>
      <c r="D145" s="540"/>
      <c r="E145" s="540"/>
      <c r="F145" s="481">
        <f>1340*20</f>
        <v>26800</v>
      </c>
      <c r="G145" s="557">
        <v>1.34</v>
      </c>
      <c r="H145" s="543">
        <f t="shared" si="10"/>
        <v>91884.078980000006</v>
      </c>
      <c r="I145" s="543">
        <v>0</v>
      </c>
      <c r="J145" s="466">
        <f>88669+3117.6141+97.46488</f>
        <v>91884.078980000006</v>
      </c>
      <c r="K145" s="465">
        <v>0</v>
      </c>
      <c r="L145" s="465">
        <v>0</v>
      </c>
      <c r="M145" s="561">
        <v>0</v>
      </c>
      <c r="N145" s="284"/>
      <c r="O145" s="277" t="s">
        <v>438</v>
      </c>
      <c r="P145" s="285">
        <f>147869973.07</f>
        <v>147869973.06999999</v>
      </c>
      <c r="Q145" s="286">
        <v>141284002.91999999</v>
      </c>
    </row>
    <row r="146" spans="2:17" s="277" customFormat="1" ht="33" x14ac:dyDescent="0.25">
      <c r="B146" s="478" t="s">
        <v>413</v>
      </c>
      <c r="C146" s="674"/>
      <c r="D146" s="540"/>
      <c r="E146" s="540"/>
      <c r="F146" s="481">
        <f>2600*20</f>
        <v>52000</v>
      </c>
      <c r="G146" s="557">
        <f>2.6</f>
        <v>2.6</v>
      </c>
      <c r="H146" s="543">
        <f t="shared" si="10"/>
        <v>141186.55783999999</v>
      </c>
      <c r="I146" s="543">
        <v>0</v>
      </c>
      <c r="J146" s="465">
        <v>141186.55783999999</v>
      </c>
      <c r="K146" s="465">
        <v>0</v>
      </c>
      <c r="L146" s="465">
        <v>0</v>
      </c>
      <c r="M146" s="561">
        <v>0</v>
      </c>
      <c r="N146" s="287"/>
      <c r="O146" s="277" t="s">
        <v>439</v>
      </c>
      <c r="P146" s="285">
        <v>197980422.31</v>
      </c>
    </row>
    <row r="147" spans="2:17" s="277" customFormat="1" x14ac:dyDescent="0.25">
      <c r="B147" s="478" t="s">
        <v>183</v>
      </c>
      <c r="C147" s="674"/>
      <c r="D147" s="540"/>
      <c r="E147" s="540"/>
      <c r="F147" s="481">
        <f>830*14</f>
        <v>11620</v>
      </c>
      <c r="G147" s="557">
        <v>0.83</v>
      </c>
      <c r="H147" s="543">
        <f t="shared" si="10"/>
        <v>56709.861400000002</v>
      </c>
      <c r="I147" s="543">
        <v>0</v>
      </c>
      <c r="J147" s="172">
        <v>56709.861400000002</v>
      </c>
      <c r="K147" s="466">
        <v>0</v>
      </c>
      <c r="L147" s="465">
        <v>0</v>
      </c>
      <c r="M147" s="561">
        <v>0</v>
      </c>
      <c r="N147" s="284"/>
    </row>
    <row r="148" spans="2:17" s="279" customFormat="1" ht="50.25" customHeight="1" x14ac:dyDescent="0.25">
      <c r="B148" s="492" t="s">
        <v>631</v>
      </c>
      <c r="C148" s="674"/>
      <c r="D148" s="540"/>
      <c r="E148" s="540"/>
      <c r="F148" s="490">
        <v>22400</v>
      </c>
      <c r="G148" s="482">
        <v>1.4</v>
      </c>
      <c r="H148" s="543">
        <f t="shared" si="10"/>
        <v>66985.179596000002</v>
      </c>
      <c r="I148" s="543">
        <v>0</v>
      </c>
      <c r="J148" s="466">
        <v>0</v>
      </c>
      <c r="K148" s="466">
        <f>'перечень объектов'!C249</f>
        <v>66985.179596000002</v>
      </c>
      <c r="L148" s="465">
        <v>0</v>
      </c>
      <c r="M148" s="561">
        <v>0</v>
      </c>
      <c r="N148" s="253"/>
      <c r="O148" s="251"/>
    </row>
    <row r="149" spans="2:17" s="279" customFormat="1" x14ac:dyDescent="0.25">
      <c r="B149" s="492" t="s">
        <v>809</v>
      </c>
      <c r="C149" s="674"/>
      <c r="D149" s="540"/>
      <c r="E149" s="540"/>
      <c r="F149" s="490">
        <v>10361.86</v>
      </c>
      <c r="G149" s="560">
        <v>0.94</v>
      </c>
      <c r="H149" s="543">
        <f t="shared" ref="H149:H154" si="11">SUM(I149:M149)</f>
        <v>16320.057229999999</v>
      </c>
      <c r="I149" s="468">
        <v>0</v>
      </c>
      <c r="J149" s="468">
        <v>0</v>
      </c>
      <c r="K149" s="468">
        <f>'перечень объектов'!C250</f>
        <v>16320.057229999999</v>
      </c>
      <c r="L149" s="468">
        <v>0</v>
      </c>
      <c r="M149" s="558">
        <v>0</v>
      </c>
      <c r="N149" s="253"/>
      <c r="O149" s="250"/>
    </row>
    <row r="150" spans="2:17" s="279" customFormat="1" x14ac:dyDescent="0.25">
      <c r="B150" s="492" t="str">
        <f>'перечень объектов'!B251</f>
        <v>Ремонт ул. Советская (восстановление бортовых камней)</v>
      </c>
      <c r="C150" s="674"/>
      <c r="D150" s="540"/>
      <c r="E150" s="540"/>
      <c r="F150" s="490" t="s">
        <v>224</v>
      </c>
      <c r="G150" s="557">
        <v>1.9830000000000001</v>
      </c>
      <c r="H150" s="543">
        <f t="shared" si="11"/>
        <v>5361.1369599999998</v>
      </c>
      <c r="I150" s="468">
        <v>0</v>
      </c>
      <c r="J150" s="468">
        <v>0</v>
      </c>
      <c r="K150" s="468">
        <f>'перечень объектов'!C251</f>
        <v>5361.1369599999998</v>
      </c>
      <c r="L150" s="468">
        <v>0</v>
      </c>
      <c r="M150" s="558">
        <v>0</v>
      </c>
      <c r="N150" s="253"/>
      <c r="O150" s="250"/>
    </row>
    <row r="151" spans="2:17" s="279" customFormat="1" ht="33" x14ac:dyDescent="0.25">
      <c r="B151" s="478" t="str">
        <f>'перечень объектов'!B252</f>
        <v>Ремонт ул.Пролетарская Гора от ул.Салтыкова-Щедрина до ул. Максима Горького, от дома №5 до ул.Ленина (1 этап)</v>
      </c>
      <c r="C151" s="674"/>
      <c r="D151" s="540"/>
      <c r="E151" s="540"/>
      <c r="F151" s="490">
        <v>2176</v>
      </c>
      <c r="G151" s="557">
        <v>0.14599999999999999</v>
      </c>
      <c r="H151" s="543">
        <f t="shared" si="11"/>
        <v>1933.23164</v>
      </c>
      <c r="I151" s="468">
        <v>0</v>
      </c>
      <c r="J151" s="468">
        <v>0</v>
      </c>
      <c r="K151" s="468">
        <f>'перечень объектов'!C252</f>
        <v>1933.23164</v>
      </c>
      <c r="L151" s="468">
        <v>0</v>
      </c>
      <c r="M151" s="558">
        <v>0</v>
      </c>
      <c r="N151" s="253"/>
      <c r="O151" s="250"/>
    </row>
    <row r="152" spans="2:17" s="279" customFormat="1" ht="33" x14ac:dyDescent="0.25">
      <c r="B152" s="478" t="str">
        <f>'перечень объектов'!B253</f>
        <v>Ремонт ул.Пролетарская Гора от ул.Салтыкова-Щедрина до ул. Максима Горького, от дома №5 до ул.Ленина (2 этап)</v>
      </c>
      <c r="C152" s="674"/>
      <c r="D152" s="540"/>
      <c r="E152" s="540"/>
      <c r="F152" s="490">
        <v>6874</v>
      </c>
      <c r="G152" s="557">
        <v>0.48599999999999999</v>
      </c>
      <c r="H152" s="543">
        <f t="shared" si="11"/>
        <v>8655.0218600000007</v>
      </c>
      <c r="I152" s="468">
        <v>0</v>
      </c>
      <c r="J152" s="468">
        <v>0</v>
      </c>
      <c r="K152" s="468">
        <f>'перечень объектов'!C253</f>
        <v>8655.0218600000007</v>
      </c>
      <c r="L152" s="468">
        <v>0</v>
      </c>
      <c r="M152" s="558">
        <v>0</v>
      </c>
      <c r="N152" s="253"/>
      <c r="O152" s="250"/>
    </row>
    <row r="153" spans="2:17" s="279" customFormat="1" x14ac:dyDescent="0.25">
      <c r="B153" s="478" t="s">
        <v>698</v>
      </c>
      <c r="C153" s="674"/>
      <c r="D153" s="540"/>
      <c r="E153" s="540"/>
      <c r="F153" s="490">
        <v>7015</v>
      </c>
      <c r="G153" s="557">
        <v>0.23</v>
      </c>
      <c r="H153" s="543">
        <f t="shared" si="11"/>
        <v>3795.2195099999999</v>
      </c>
      <c r="I153" s="468">
        <v>0</v>
      </c>
      <c r="J153" s="468">
        <v>0</v>
      </c>
      <c r="K153" s="468">
        <f>'перечень объектов'!C255</f>
        <v>3795.2195099999999</v>
      </c>
      <c r="L153" s="468">
        <v>0</v>
      </c>
      <c r="M153" s="558">
        <v>0</v>
      </c>
      <c r="N153" s="253"/>
      <c r="O153" s="250"/>
    </row>
    <row r="154" spans="2:17" s="279" customFormat="1" ht="99" x14ac:dyDescent="0.25">
      <c r="B154" s="478" t="str">
        <f>'перечень объектов'!B254</f>
        <v>Выполнение работ по разработке проектно-сметной документации, получение положительного заключения государственной экспертизы и выполнение работ по капитальному ремонту по ул. Михалицына (прилегающая территория) с примыканием ул. Космонавтов на участке от 
ул. Михалицына до дома № 15 по пер. Межевой</v>
      </c>
      <c r="C154" s="674"/>
      <c r="D154" s="540"/>
      <c r="E154" s="540"/>
      <c r="F154" s="490"/>
      <c r="G154" s="557"/>
      <c r="H154" s="543">
        <f t="shared" si="11"/>
        <v>102069.92543434343</v>
      </c>
      <c r="I154" s="468">
        <v>0</v>
      </c>
      <c r="J154" s="468">
        <v>0</v>
      </c>
      <c r="K154" s="468">
        <f>'перечень объектов'!C254</f>
        <v>102069.92543434343</v>
      </c>
      <c r="L154" s="468">
        <v>0</v>
      </c>
      <c r="M154" s="558">
        <v>0</v>
      </c>
      <c r="N154" s="253"/>
      <c r="O154" s="250"/>
    </row>
    <row r="155" spans="2:17" x14ac:dyDescent="0.25">
      <c r="B155" s="478" t="s">
        <v>517</v>
      </c>
      <c r="C155" s="674"/>
      <c r="D155" s="540"/>
      <c r="E155" s="540"/>
      <c r="F155" s="481">
        <f>1450*8</f>
        <v>11600</v>
      </c>
      <c r="G155" s="557">
        <v>1.45</v>
      </c>
      <c r="H155" s="543">
        <f t="shared" si="10"/>
        <v>86344.368130000003</v>
      </c>
      <c r="I155" s="466">
        <v>0</v>
      </c>
      <c r="J155" s="466">
        <v>86344.368130000003</v>
      </c>
      <c r="K155" s="466">
        <v>0</v>
      </c>
      <c r="L155" s="465">
        <v>0</v>
      </c>
      <c r="M155" s="561">
        <v>0</v>
      </c>
      <c r="O155" s="249"/>
      <c r="P155" s="269"/>
    </row>
    <row r="156" spans="2:17" ht="66" x14ac:dyDescent="0.25">
      <c r="B156" s="478" t="s">
        <v>635</v>
      </c>
      <c r="C156" s="674"/>
      <c r="D156" s="540"/>
      <c r="E156" s="540"/>
      <c r="F156" s="481">
        <f>1830*8</f>
        <v>14640</v>
      </c>
      <c r="G156" s="557">
        <v>1.83</v>
      </c>
      <c r="H156" s="543">
        <f t="shared" si="10"/>
        <v>46380.588199999998</v>
      </c>
      <c r="I156" s="466">
        <v>0</v>
      </c>
      <c r="J156" s="466">
        <v>46380.588199999998</v>
      </c>
      <c r="K156" s="466">
        <v>0</v>
      </c>
      <c r="L156" s="465">
        <v>0</v>
      </c>
      <c r="M156" s="561">
        <v>0</v>
      </c>
      <c r="N156" s="249"/>
      <c r="O156" s="288">
        <f>300000000/0.99</f>
        <v>303030303.03030306</v>
      </c>
      <c r="P156" s="269"/>
    </row>
    <row r="157" spans="2:17" x14ac:dyDescent="0.25">
      <c r="B157" s="478" t="s">
        <v>184</v>
      </c>
      <c r="C157" s="674"/>
      <c r="D157" s="540"/>
      <c r="E157" s="540"/>
      <c r="F157" s="481">
        <f>3070*8</f>
        <v>24560</v>
      </c>
      <c r="G157" s="557">
        <v>3.07</v>
      </c>
      <c r="H157" s="543">
        <f t="shared" si="10"/>
        <v>303030.30303000001</v>
      </c>
      <c r="I157" s="466">
        <v>0</v>
      </c>
      <c r="J157" s="466">
        <v>0</v>
      </c>
      <c r="K157" s="465">
        <v>0</v>
      </c>
      <c r="L157" s="465">
        <v>0</v>
      </c>
      <c r="M157" s="561">
        <v>303030.30303000001</v>
      </c>
    </row>
    <row r="158" spans="2:17" x14ac:dyDescent="0.25">
      <c r="B158" s="478" t="s">
        <v>817</v>
      </c>
      <c r="C158" s="674"/>
      <c r="D158" s="540"/>
      <c r="E158" s="540"/>
      <c r="F158" s="481">
        <f>G158*22000</f>
        <v>23760</v>
      </c>
      <c r="G158" s="557">
        <v>1.08</v>
      </c>
      <c r="H158" s="543">
        <f t="shared" si="10"/>
        <v>303030.30303000001</v>
      </c>
      <c r="I158" s="466">
        <v>0</v>
      </c>
      <c r="J158" s="466">
        <v>0</v>
      </c>
      <c r="K158" s="465">
        <v>0</v>
      </c>
      <c r="L158" s="465">
        <v>303030.30303000001</v>
      </c>
      <c r="M158" s="561">
        <v>0</v>
      </c>
      <c r="N158" s="289"/>
      <c r="O158" s="290"/>
      <c r="P158" s="269"/>
    </row>
    <row r="159" spans="2:17" x14ac:dyDescent="0.25">
      <c r="B159" s="492" t="s">
        <v>26</v>
      </c>
      <c r="C159" s="674"/>
      <c r="D159" s="540"/>
      <c r="E159" s="540"/>
      <c r="F159" s="481"/>
      <c r="G159" s="557"/>
      <c r="H159" s="543">
        <f>SUM(I159:M159)</f>
        <v>83546.059510000006</v>
      </c>
      <c r="I159" s="466">
        <f>91.87364+81.7215+83372.46437</f>
        <v>83546.059510000006</v>
      </c>
      <c r="J159" s="466">
        <v>0</v>
      </c>
      <c r="K159" s="465">
        <v>0</v>
      </c>
      <c r="L159" s="465">
        <v>0</v>
      </c>
      <c r="M159" s="561">
        <v>0</v>
      </c>
      <c r="O159" s="251" t="e">
        <f>#REF!/0.99</f>
        <v>#REF!</v>
      </c>
    </row>
    <row r="160" spans="2:17" ht="33" x14ac:dyDescent="0.25">
      <c r="B160" s="492" t="s">
        <v>27</v>
      </c>
      <c r="C160" s="675"/>
      <c r="D160" s="540"/>
      <c r="E160" s="540"/>
      <c r="F160" s="481"/>
      <c r="G160" s="557"/>
      <c r="H160" s="543">
        <f t="shared" si="10"/>
        <v>10175.769749999999</v>
      </c>
      <c r="I160" s="466">
        <v>885.322</v>
      </c>
      <c r="J160" s="466">
        <v>3031</v>
      </c>
      <c r="K160" s="466">
        <v>228.44775000000001</v>
      </c>
      <c r="L160" s="465">
        <v>3031</v>
      </c>
      <c r="M160" s="561">
        <v>3000</v>
      </c>
    </row>
    <row r="161" spans="2:16" hidden="1" outlineLevel="1" x14ac:dyDescent="0.25">
      <c r="B161" s="492" t="s">
        <v>31</v>
      </c>
      <c r="C161" s="540"/>
      <c r="D161" s="540"/>
      <c r="E161" s="540"/>
      <c r="F161" s="541"/>
      <c r="G161" s="542"/>
      <c r="H161" s="466"/>
      <c r="I161" s="466">
        <v>0</v>
      </c>
      <c r="J161" s="466">
        <v>0</v>
      </c>
      <c r="K161" s="466">
        <v>0</v>
      </c>
      <c r="L161" s="466">
        <v>0</v>
      </c>
      <c r="M161" s="483">
        <v>0</v>
      </c>
    </row>
    <row r="162" spans="2:16" ht="17.25" collapsed="1" x14ac:dyDescent="0.25">
      <c r="B162" s="549" t="s">
        <v>16</v>
      </c>
      <c r="C162" s="540"/>
      <c r="D162" s="540"/>
      <c r="E162" s="540"/>
      <c r="F162" s="541"/>
      <c r="G162" s="479"/>
      <c r="H162" s="464"/>
      <c r="I162" s="668"/>
      <c r="J162" s="669"/>
      <c r="K162" s="669"/>
      <c r="L162" s="669"/>
      <c r="M162" s="670"/>
    </row>
    <row r="163" spans="2:16" x14ac:dyDescent="0.25">
      <c r="B163" s="492" t="s">
        <v>77</v>
      </c>
      <c r="C163" s="540"/>
      <c r="D163" s="540"/>
      <c r="E163" s="540"/>
      <c r="F163" s="541"/>
      <c r="G163" s="479"/>
      <c r="H163" s="466">
        <f>SUM(I163:M163)</f>
        <v>0</v>
      </c>
      <c r="I163" s="465">
        <v>0</v>
      </c>
      <c r="J163" s="465">
        <v>0</v>
      </c>
      <c r="K163" s="465">
        <f>'перечень объектов'!D248</f>
        <v>0</v>
      </c>
      <c r="L163" s="465">
        <v>0</v>
      </c>
      <c r="M163" s="483">
        <v>0</v>
      </c>
    </row>
    <row r="164" spans="2:16" x14ac:dyDescent="0.25">
      <c r="B164" s="492" t="s">
        <v>515</v>
      </c>
      <c r="C164" s="540"/>
      <c r="D164" s="540"/>
      <c r="E164" s="540"/>
      <c r="F164" s="541"/>
      <c r="G164" s="479"/>
      <c r="H164" s="466">
        <f>SUM(I164:M164)</f>
        <v>0</v>
      </c>
      <c r="I164" s="465">
        <v>0</v>
      </c>
      <c r="J164" s="465">
        <f>'перечень объектов'!E183</f>
        <v>0</v>
      </c>
      <c r="K164" s="465">
        <f>'перечень объектов'!E248</f>
        <v>0</v>
      </c>
      <c r="L164" s="465">
        <v>0</v>
      </c>
      <c r="M164" s="483">
        <v>0</v>
      </c>
      <c r="O164" s="251">
        <f>K165/99</f>
        <v>2051.1977225054547</v>
      </c>
      <c r="P164" s="250">
        <f>K165+O164</f>
        <v>205119.77225054547</v>
      </c>
    </row>
    <row r="165" spans="2:16" x14ac:dyDescent="0.25">
      <c r="B165" s="492" t="s">
        <v>9</v>
      </c>
      <c r="C165" s="540"/>
      <c r="D165" s="540"/>
      <c r="E165" s="540"/>
      <c r="F165" s="541"/>
      <c r="G165" s="542"/>
      <c r="H165" s="466">
        <f>SUM(I165:M165)</f>
        <v>1584613.5050204401</v>
      </c>
      <c r="I165" s="465">
        <v>363264.53048820002</v>
      </c>
      <c r="J165" s="465">
        <f>'перечень объектов'!F183</f>
        <v>418280.40000449994</v>
      </c>
      <c r="K165" s="648">
        <f>'перечень объектов'!F248</f>
        <v>203068.57452804002</v>
      </c>
      <c r="L165" s="465">
        <f>'перечень объектов'!F353</f>
        <v>299999.9999997</v>
      </c>
      <c r="M165" s="483">
        <v>300000</v>
      </c>
      <c r="N165" s="249"/>
      <c r="O165" s="250">
        <f>N165/99</f>
        <v>0</v>
      </c>
      <c r="P165" s="250">
        <f>N165+O165</f>
        <v>0</v>
      </c>
    </row>
    <row r="166" spans="2:16" x14ac:dyDescent="0.25">
      <c r="B166" s="492" t="s">
        <v>10</v>
      </c>
      <c r="C166" s="540"/>
      <c r="D166" s="540"/>
      <c r="E166" s="540"/>
      <c r="F166" s="572"/>
      <c r="G166" s="573"/>
      <c r="H166" s="477">
        <f>SUM(I166:M166)</f>
        <v>24119.103028103455</v>
      </c>
      <c r="I166" s="465">
        <v>5522.1</v>
      </c>
      <c r="J166" s="465">
        <f>'перечень объектов'!G183</f>
        <v>7256.0545455000101</v>
      </c>
      <c r="K166" s="465">
        <f>'перечень объектов'!G248</f>
        <v>2279.6454523034313</v>
      </c>
      <c r="L166" s="465">
        <f>'перечень объектов'!G353</f>
        <v>6061.3030303000123</v>
      </c>
      <c r="M166" s="574">
        <v>3000</v>
      </c>
      <c r="N166" s="249"/>
      <c r="P166" s="250">
        <f>P165-P164</f>
        <v>-205119.77225054547</v>
      </c>
    </row>
    <row r="167" spans="2:16" ht="17.25" x14ac:dyDescent="0.25">
      <c r="B167" s="664"/>
      <c r="C167" s="665"/>
      <c r="D167" s="665"/>
      <c r="E167" s="665"/>
      <c r="F167" s="666"/>
      <c r="G167" s="666"/>
      <c r="H167" s="666"/>
      <c r="I167" s="666"/>
      <c r="J167" s="666"/>
      <c r="K167" s="666"/>
      <c r="L167" s="666"/>
      <c r="M167" s="667"/>
    </row>
    <row r="168" spans="2:16" x14ac:dyDescent="0.25">
      <c r="B168" s="534" t="s">
        <v>132</v>
      </c>
      <c r="C168" s="575"/>
      <c r="D168" s="576"/>
      <c r="E168" s="535"/>
      <c r="F168" s="715" t="s">
        <v>114</v>
      </c>
      <c r="G168" s="716"/>
      <c r="H168" s="577"/>
      <c r="I168" s="476"/>
      <c r="J168" s="474"/>
      <c r="K168" s="459"/>
      <c r="L168" s="472"/>
      <c r="M168" s="536"/>
    </row>
    <row r="169" spans="2:16" ht="90" customHeight="1" x14ac:dyDescent="0.25">
      <c r="B169" s="537" t="s">
        <v>13</v>
      </c>
      <c r="C169" s="676" t="s">
        <v>320</v>
      </c>
      <c r="D169" s="538">
        <v>2022</v>
      </c>
      <c r="E169" s="538">
        <v>2026</v>
      </c>
      <c r="F169" s="717"/>
      <c r="G169" s="718"/>
      <c r="H169" s="578">
        <f t="shared" ref="H169:M169" si="12">SUM(H170:H197)</f>
        <v>17230.651080800002</v>
      </c>
      <c r="I169" s="457">
        <f>SUM(I170:I197)</f>
        <v>9330.6510808000021</v>
      </c>
      <c r="J169" s="457">
        <f t="shared" si="12"/>
        <v>2200</v>
      </c>
      <c r="K169" s="457">
        <f t="shared" si="12"/>
        <v>1300</v>
      </c>
      <c r="L169" s="457">
        <f t="shared" si="12"/>
        <v>2200</v>
      </c>
      <c r="M169" s="529">
        <f t="shared" si="12"/>
        <v>2200</v>
      </c>
      <c r="N169" s="249"/>
    </row>
    <row r="170" spans="2:16" hidden="1" x14ac:dyDescent="0.25">
      <c r="B170" s="582" t="s">
        <v>32</v>
      </c>
      <c r="C170" s="677"/>
      <c r="D170" s="567"/>
      <c r="E170" s="540"/>
      <c r="F170" s="541"/>
      <c r="G170" s="579" t="s">
        <v>85</v>
      </c>
      <c r="H170" s="580">
        <f>SUM(I170:M170)</f>
        <v>0</v>
      </c>
      <c r="I170" s="471">
        <f>500-500</f>
        <v>0</v>
      </c>
      <c r="J170" s="466">
        <v>0</v>
      </c>
      <c r="K170" s="466">
        <v>0</v>
      </c>
      <c r="L170" s="466">
        <v>0</v>
      </c>
      <c r="M170" s="483">
        <v>0</v>
      </c>
    </row>
    <row r="171" spans="2:16" hidden="1" x14ac:dyDescent="0.25">
      <c r="B171" s="582" t="s">
        <v>33</v>
      </c>
      <c r="C171" s="677"/>
      <c r="D171" s="567"/>
      <c r="E171" s="540"/>
      <c r="F171" s="541"/>
      <c r="G171" s="579" t="s">
        <v>86</v>
      </c>
      <c r="H171" s="580">
        <f t="shared" ref="H171:H197" si="13">SUM(I171:M171)</f>
        <v>0</v>
      </c>
      <c r="I171" s="471">
        <f>700-700</f>
        <v>0</v>
      </c>
      <c r="J171" s="466">
        <v>0</v>
      </c>
      <c r="K171" s="466">
        <v>0</v>
      </c>
      <c r="L171" s="466">
        <v>0</v>
      </c>
      <c r="M171" s="483">
        <v>0</v>
      </c>
    </row>
    <row r="172" spans="2:16" ht="33" x14ac:dyDescent="0.25">
      <c r="B172" s="582" t="s">
        <v>146</v>
      </c>
      <c r="C172" s="677"/>
      <c r="D172" s="567"/>
      <c r="E172" s="540"/>
      <c r="F172" s="541"/>
      <c r="G172" s="579"/>
      <c r="H172" s="580">
        <f t="shared" si="13"/>
        <v>1051</v>
      </c>
      <c r="I172" s="471">
        <v>150</v>
      </c>
      <c r="J172" s="471">
        <v>150</v>
      </c>
      <c r="K172" s="471">
        <v>451</v>
      </c>
      <c r="L172" s="471">
        <v>150</v>
      </c>
      <c r="M172" s="548">
        <v>150</v>
      </c>
    </row>
    <row r="173" spans="2:16" ht="33" x14ac:dyDescent="0.25">
      <c r="B173" s="582" t="s">
        <v>147</v>
      </c>
      <c r="C173" s="677"/>
      <c r="D173" s="567"/>
      <c r="E173" s="540"/>
      <c r="F173" s="541"/>
      <c r="G173" s="579"/>
      <c r="H173" s="580">
        <f t="shared" si="13"/>
        <v>600</v>
      </c>
      <c r="I173" s="471">
        <v>150</v>
      </c>
      <c r="J173" s="471">
        <v>150</v>
      </c>
      <c r="K173" s="471">
        <v>0</v>
      </c>
      <c r="L173" s="471">
        <v>150</v>
      </c>
      <c r="M173" s="548">
        <v>150</v>
      </c>
    </row>
    <row r="174" spans="2:16" s="292" customFormat="1" ht="49.5" x14ac:dyDescent="0.25">
      <c r="B174" s="582" t="s">
        <v>254</v>
      </c>
      <c r="C174" s="677"/>
      <c r="D174" s="567"/>
      <c r="E174" s="540"/>
      <c r="F174" s="541"/>
      <c r="G174" s="581" t="s">
        <v>207</v>
      </c>
      <c r="H174" s="580">
        <f t="shared" si="13"/>
        <v>937.91759999999999</v>
      </c>
      <c r="I174" s="471">
        <f>937.9176</f>
        <v>937.91759999999999</v>
      </c>
      <c r="J174" s="466">
        <v>0</v>
      </c>
      <c r="K174" s="466">
        <v>0</v>
      </c>
      <c r="L174" s="466">
        <v>0</v>
      </c>
      <c r="M174" s="483">
        <v>0</v>
      </c>
      <c r="N174" s="291"/>
    </row>
    <row r="175" spans="2:16" s="292" customFormat="1" ht="49.5" x14ac:dyDescent="0.25">
      <c r="B175" s="582" t="s">
        <v>255</v>
      </c>
      <c r="C175" s="677"/>
      <c r="D175" s="567"/>
      <c r="E175" s="540"/>
      <c r="F175" s="541"/>
      <c r="G175" s="581" t="s">
        <v>207</v>
      </c>
      <c r="H175" s="580">
        <f t="shared" si="13"/>
        <v>940.24440000000004</v>
      </c>
      <c r="I175" s="471">
        <f>940.2444</f>
        <v>940.24440000000004</v>
      </c>
      <c r="J175" s="466">
        <v>0</v>
      </c>
      <c r="K175" s="466">
        <v>0</v>
      </c>
      <c r="L175" s="466">
        <v>0</v>
      </c>
      <c r="M175" s="483">
        <v>0</v>
      </c>
      <c r="N175" s="291"/>
    </row>
    <row r="176" spans="2:16" s="292" customFormat="1" ht="49.5" x14ac:dyDescent="0.25">
      <c r="B176" s="582" t="s">
        <v>256</v>
      </c>
      <c r="C176" s="677"/>
      <c r="D176" s="567"/>
      <c r="E176" s="540"/>
      <c r="F176" s="541"/>
      <c r="G176" s="581" t="s">
        <v>207</v>
      </c>
      <c r="H176" s="580">
        <f t="shared" si="13"/>
        <v>467.87470000000002</v>
      </c>
      <c r="I176" s="471">
        <f>467.8747</f>
        <v>467.87470000000002</v>
      </c>
      <c r="J176" s="466">
        <v>0</v>
      </c>
      <c r="K176" s="466">
        <v>0</v>
      </c>
      <c r="L176" s="466">
        <v>0</v>
      </c>
      <c r="M176" s="483">
        <v>0</v>
      </c>
      <c r="N176" s="291"/>
    </row>
    <row r="177" spans="2:14" s="292" customFormat="1" x14ac:dyDescent="0.25">
      <c r="B177" s="582" t="s">
        <v>392</v>
      </c>
      <c r="C177" s="677"/>
      <c r="D177" s="567"/>
      <c r="E177" s="540"/>
      <c r="F177" s="541"/>
      <c r="G177" s="579"/>
      <c r="H177" s="580">
        <f t="shared" si="13"/>
        <v>58.090919999999997</v>
      </c>
      <c r="I177" s="471">
        <v>58.090919999999997</v>
      </c>
      <c r="J177" s="466">
        <v>0</v>
      </c>
      <c r="K177" s="466">
        <v>0</v>
      </c>
      <c r="L177" s="466">
        <v>0</v>
      </c>
      <c r="M177" s="483">
        <v>0</v>
      </c>
      <c r="N177" s="291"/>
    </row>
    <row r="178" spans="2:14" s="294" customFormat="1" ht="49.5" hidden="1" outlineLevel="1" x14ac:dyDescent="0.25">
      <c r="B178" s="582" t="s">
        <v>278</v>
      </c>
      <c r="C178" s="677"/>
      <c r="D178" s="567"/>
      <c r="E178" s="540"/>
      <c r="F178" s="541"/>
      <c r="G178" s="579"/>
      <c r="H178" s="580">
        <f t="shared" si="13"/>
        <v>0</v>
      </c>
      <c r="I178" s="471">
        <f>1590154/1000-1590.154</f>
        <v>0</v>
      </c>
      <c r="J178" s="466">
        <v>0</v>
      </c>
      <c r="K178" s="466">
        <v>0</v>
      </c>
      <c r="L178" s="466">
        <v>0</v>
      </c>
      <c r="M178" s="483">
        <v>0</v>
      </c>
      <c r="N178" s="293"/>
    </row>
    <row r="179" spans="2:14" s="294" customFormat="1" ht="49.5" hidden="1" outlineLevel="1" x14ac:dyDescent="0.25">
      <c r="B179" s="582" t="s">
        <v>279</v>
      </c>
      <c r="C179" s="677"/>
      <c r="D179" s="567"/>
      <c r="E179" s="540"/>
      <c r="F179" s="541"/>
      <c r="G179" s="579"/>
      <c r="H179" s="580">
        <f t="shared" si="13"/>
        <v>0</v>
      </c>
      <c r="I179" s="471">
        <f>966094/1000-966.094</f>
        <v>0</v>
      </c>
      <c r="J179" s="466">
        <v>0</v>
      </c>
      <c r="K179" s="466">
        <v>0</v>
      </c>
      <c r="L179" s="466">
        <v>0</v>
      </c>
      <c r="M179" s="483">
        <v>0</v>
      </c>
      <c r="N179" s="295"/>
    </row>
    <row r="180" spans="2:14" s="294" customFormat="1" ht="49.5" hidden="1" outlineLevel="1" x14ac:dyDescent="0.25">
      <c r="B180" s="582" t="s">
        <v>280</v>
      </c>
      <c r="C180" s="677"/>
      <c r="D180" s="567"/>
      <c r="E180" s="540"/>
      <c r="F180" s="541"/>
      <c r="G180" s="579"/>
      <c r="H180" s="580">
        <f t="shared" si="13"/>
        <v>0</v>
      </c>
      <c r="I180" s="471">
        <f>1270673/1000-1270.673</f>
        <v>0</v>
      </c>
      <c r="J180" s="466">
        <v>0</v>
      </c>
      <c r="K180" s="466">
        <v>0</v>
      </c>
      <c r="L180" s="466">
        <v>0</v>
      </c>
      <c r="M180" s="483">
        <v>0</v>
      </c>
      <c r="N180" s="295"/>
    </row>
    <row r="181" spans="2:14" s="294" customFormat="1" ht="49.5" hidden="1" outlineLevel="1" x14ac:dyDescent="0.25">
      <c r="B181" s="582" t="s">
        <v>277</v>
      </c>
      <c r="C181" s="677"/>
      <c r="D181" s="567"/>
      <c r="E181" s="540"/>
      <c r="F181" s="541"/>
      <c r="G181" s="579"/>
      <c r="H181" s="580">
        <f t="shared" si="13"/>
        <v>0</v>
      </c>
      <c r="I181" s="471">
        <f>2392052/1000-2392.052</f>
        <v>0</v>
      </c>
      <c r="J181" s="466">
        <v>0</v>
      </c>
      <c r="K181" s="466">
        <v>0</v>
      </c>
      <c r="L181" s="466">
        <v>0</v>
      </c>
      <c r="M181" s="483">
        <v>0</v>
      </c>
      <c r="N181" s="295"/>
    </row>
    <row r="182" spans="2:14" s="294" customFormat="1" ht="49.5" hidden="1" outlineLevel="1" x14ac:dyDescent="0.25">
      <c r="B182" s="582" t="s">
        <v>281</v>
      </c>
      <c r="C182" s="677"/>
      <c r="D182" s="567"/>
      <c r="E182" s="540"/>
      <c r="F182" s="541"/>
      <c r="G182" s="579"/>
      <c r="H182" s="580">
        <f t="shared" si="13"/>
        <v>0</v>
      </c>
      <c r="I182" s="471">
        <f>972435.6/1000-972.4356</f>
        <v>0</v>
      </c>
      <c r="J182" s="466">
        <v>0</v>
      </c>
      <c r="K182" s="466">
        <v>0</v>
      </c>
      <c r="L182" s="466">
        <v>0</v>
      </c>
      <c r="M182" s="483">
        <v>0</v>
      </c>
      <c r="N182" s="295"/>
    </row>
    <row r="183" spans="2:14" s="294" customFormat="1" ht="49.5" hidden="1" outlineLevel="1" x14ac:dyDescent="0.25">
      <c r="B183" s="582" t="s">
        <v>282</v>
      </c>
      <c r="C183" s="677"/>
      <c r="D183" s="567"/>
      <c r="E183" s="540"/>
      <c r="F183" s="541"/>
      <c r="G183" s="581"/>
      <c r="H183" s="580">
        <f t="shared" si="13"/>
        <v>0</v>
      </c>
      <c r="I183" s="471">
        <f>881194/1000-881.194</f>
        <v>0</v>
      </c>
      <c r="J183" s="466">
        <v>0</v>
      </c>
      <c r="K183" s="466">
        <v>0</v>
      </c>
      <c r="L183" s="466">
        <v>0</v>
      </c>
      <c r="M183" s="483">
        <v>0</v>
      </c>
      <c r="N183" s="295"/>
    </row>
    <row r="184" spans="2:14" s="294" customFormat="1" ht="49.5" hidden="1" outlineLevel="1" x14ac:dyDescent="0.25">
      <c r="B184" s="582" t="s">
        <v>283</v>
      </c>
      <c r="C184" s="677"/>
      <c r="D184" s="567"/>
      <c r="E184" s="540"/>
      <c r="F184" s="541"/>
      <c r="G184" s="581"/>
      <c r="H184" s="580">
        <f t="shared" si="13"/>
        <v>0</v>
      </c>
      <c r="I184" s="471">
        <f>1603699/1000-1603.699</f>
        <v>0</v>
      </c>
      <c r="J184" s="466">
        <v>0</v>
      </c>
      <c r="K184" s="466">
        <v>0</v>
      </c>
      <c r="L184" s="466">
        <v>0</v>
      </c>
      <c r="M184" s="483">
        <v>0</v>
      </c>
      <c r="N184" s="295"/>
    </row>
    <row r="185" spans="2:14" s="297" customFormat="1" ht="49.5" hidden="1" outlineLevel="1" x14ac:dyDescent="0.25">
      <c r="B185" s="582" t="s">
        <v>284</v>
      </c>
      <c r="C185" s="677"/>
      <c r="D185" s="567"/>
      <c r="E185" s="540"/>
      <c r="F185" s="541"/>
      <c r="G185" s="581"/>
      <c r="H185" s="580">
        <f t="shared" si="13"/>
        <v>0</v>
      </c>
      <c r="I185" s="471">
        <f>1203291.6/1000-1203.2916</f>
        <v>0</v>
      </c>
      <c r="J185" s="466">
        <v>0</v>
      </c>
      <c r="K185" s="466">
        <v>0</v>
      </c>
      <c r="L185" s="466">
        <v>0</v>
      </c>
      <c r="M185" s="483">
        <v>0</v>
      </c>
      <c r="N185" s="296"/>
    </row>
    <row r="186" spans="2:14" s="297" customFormat="1" ht="49.5" hidden="1" outlineLevel="1" x14ac:dyDescent="0.25">
      <c r="B186" s="582" t="s">
        <v>285</v>
      </c>
      <c r="C186" s="677"/>
      <c r="D186" s="567"/>
      <c r="E186" s="540"/>
      <c r="F186" s="541"/>
      <c r="G186" s="581"/>
      <c r="H186" s="580">
        <f t="shared" si="13"/>
        <v>0</v>
      </c>
      <c r="I186" s="471">
        <f>1468440/1000-1468.44</f>
        <v>0</v>
      </c>
      <c r="J186" s="466">
        <v>0</v>
      </c>
      <c r="K186" s="466">
        <v>0</v>
      </c>
      <c r="L186" s="466">
        <v>0</v>
      </c>
      <c r="M186" s="483">
        <v>0</v>
      </c>
      <c r="N186" s="296"/>
    </row>
    <row r="187" spans="2:14" s="297" customFormat="1" ht="49.5" hidden="1" outlineLevel="1" x14ac:dyDescent="0.25">
      <c r="B187" s="582" t="s">
        <v>286</v>
      </c>
      <c r="C187" s="677"/>
      <c r="D187" s="567"/>
      <c r="E187" s="540"/>
      <c r="F187" s="541"/>
      <c r="G187" s="581"/>
      <c r="H187" s="580">
        <f t="shared" si="13"/>
        <v>0</v>
      </c>
      <c r="I187" s="471">
        <f>861013.2/1000-861.0132</f>
        <v>0</v>
      </c>
      <c r="J187" s="466">
        <v>0</v>
      </c>
      <c r="K187" s="466">
        <v>0</v>
      </c>
      <c r="L187" s="466">
        <v>0</v>
      </c>
      <c r="M187" s="483">
        <v>0</v>
      </c>
      <c r="N187" s="296"/>
    </row>
    <row r="188" spans="2:14" s="297" customFormat="1" ht="49.5" hidden="1" outlineLevel="1" x14ac:dyDescent="0.25">
      <c r="B188" s="582" t="s">
        <v>323</v>
      </c>
      <c r="C188" s="677"/>
      <c r="D188" s="567"/>
      <c r="E188" s="540"/>
      <c r="F188" s="541"/>
      <c r="G188" s="581"/>
      <c r="H188" s="580">
        <f t="shared" si="13"/>
        <v>0</v>
      </c>
      <c r="I188" s="471">
        <f>800-800</f>
        <v>0</v>
      </c>
      <c r="J188" s="466">
        <v>0</v>
      </c>
      <c r="K188" s="466">
        <v>0</v>
      </c>
      <c r="L188" s="466">
        <v>0</v>
      </c>
      <c r="M188" s="483">
        <v>0</v>
      </c>
      <c r="N188" s="296"/>
    </row>
    <row r="189" spans="2:14" ht="49.5" collapsed="1" x14ac:dyDescent="0.25">
      <c r="B189" s="582" t="s">
        <v>212</v>
      </c>
      <c r="C189" s="677"/>
      <c r="D189" s="567"/>
      <c r="E189" s="540"/>
      <c r="F189" s="541"/>
      <c r="G189" s="581" t="s">
        <v>211</v>
      </c>
      <c r="H189" s="580">
        <f t="shared" si="13"/>
        <v>1603.2324000000001</v>
      </c>
      <c r="I189" s="471">
        <f>210.7344+560.1444+414.0648+418.2888</f>
        <v>1603.2324000000001</v>
      </c>
      <c r="J189" s="466">
        <v>0</v>
      </c>
      <c r="K189" s="466">
        <v>0</v>
      </c>
      <c r="L189" s="466">
        <v>0</v>
      </c>
      <c r="M189" s="483">
        <v>0</v>
      </c>
      <c r="N189" s="270"/>
    </row>
    <row r="190" spans="2:14" ht="49.5" x14ac:dyDescent="0.25">
      <c r="B190" s="582" t="s">
        <v>219</v>
      </c>
      <c r="C190" s="677"/>
      <c r="D190" s="567"/>
      <c r="E190" s="540"/>
      <c r="F190" s="541"/>
      <c r="G190" s="581" t="s">
        <v>207</v>
      </c>
      <c r="H190" s="580">
        <f t="shared" si="13"/>
        <v>2154.2671099999998</v>
      </c>
      <c r="I190" s="471">
        <f>2154.26711</f>
        <v>2154.2671099999998</v>
      </c>
      <c r="J190" s="466">
        <v>0</v>
      </c>
      <c r="K190" s="466">
        <v>0</v>
      </c>
      <c r="L190" s="466">
        <v>0</v>
      </c>
      <c r="M190" s="483">
        <v>0</v>
      </c>
      <c r="N190" s="270"/>
    </row>
    <row r="191" spans="2:14" ht="49.5" x14ac:dyDescent="0.25">
      <c r="B191" s="582" t="s">
        <v>220</v>
      </c>
      <c r="C191" s="677"/>
      <c r="D191" s="567"/>
      <c r="E191" s="540"/>
      <c r="F191" s="541"/>
      <c r="G191" s="581" t="s">
        <v>207</v>
      </c>
      <c r="H191" s="580">
        <f t="shared" si="13"/>
        <v>1489.1971007999998</v>
      </c>
      <c r="I191" s="471">
        <f>1489.24698-0.0473855-0.0023693-0.0001184-0.000006</f>
        <v>1489.1971007999998</v>
      </c>
      <c r="J191" s="466">
        <v>0</v>
      </c>
      <c r="K191" s="466">
        <v>0</v>
      </c>
      <c r="L191" s="466">
        <v>0</v>
      </c>
      <c r="M191" s="483">
        <v>0</v>
      </c>
    </row>
    <row r="192" spans="2:14" ht="49.5" x14ac:dyDescent="0.25">
      <c r="B192" s="582" t="s">
        <v>221</v>
      </c>
      <c r="C192" s="677"/>
      <c r="D192" s="567"/>
      <c r="E192" s="540"/>
      <c r="F192" s="541"/>
      <c r="G192" s="581" t="s">
        <v>207</v>
      </c>
      <c r="H192" s="580">
        <f t="shared" si="13"/>
        <v>408.76042000000001</v>
      </c>
      <c r="I192" s="471">
        <f>408.76042</f>
        <v>408.76042000000001</v>
      </c>
      <c r="J192" s="466">
        <v>0</v>
      </c>
      <c r="K192" s="466">
        <v>0</v>
      </c>
      <c r="L192" s="466">
        <v>0</v>
      </c>
      <c r="M192" s="483">
        <v>0</v>
      </c>
    </row>
    <row r="193" spans="2:17" ht="49.5" x14ac:dyDescent="0.25">
      <c r="B193" s="582" t="s">
        <v>222</v>
      </c>
      <c r="C193" s="677"/>
      <c r="D193" s="567"/>
      <c r="E193" s="540"/>
      <c r="F193" s="541"/>
      <c r="G193" s="581" t="s">
        <v>207</v>
      </c>
      <c r="H193" s="580">
        <f t="shared" si="13"/>
        <v>35.221240000000002</v>
      </c>
      <c r="I193" s="471">
        <f>35.22124</f>
        <v>35.221240000000002</v>
      </c>
      <c r="J193" s="466">
        <v>0</v>
      </c>
      <c r="K193" s="466">
        <v>0</v>
      </c>
      <c r="L193" s="466">
        <v>0</v>
      </c>
      <c r="M193" s="483">
        <v>0</v>
      </c>
    </row>
    <row r="194" spans="2:17" ht="49.5" x14ac:dyDescent="0.25">
      <c r="B194" s="582" t="s">
        <v>223</v>
      </c>
      <c r="C194" s="677"/>
      <c r="D194" s="567"/>
      <c r="E194" s="540"/>
      <c r="F194" s="541"/>
      <c r="G194" s="581" t="s">
        <v>207</v>
      </c>
      <c r="H194" s="580">
        <f t="shared" si="13"/>
        <v>421.00594000000001</v>
      </c>
      <c r="I194" s="471">
        <f>421.00594</f>
        <v>421.00594000000001</v>
      </c>
      <c r="J194" s="466">
        <v>0</v>
      </c>
      <c r="K194" s="466">
        <v>0</v>
      </c>
      <c r="L194" s="466">
        <v>0</v>
      </c>
      <c r="M194" s="483">
        <v>0</v>
      </c>
    </row>
    <row r="195" spans="2:17" x14ac:dyDescent="0.25">
      <c r="B195" s="582" t="s">
        <v>322</v>
      </c>
      <c r="C195" s="677"/>
      <c r="D195" s="567"/>
      <c r="E195" s="540"/>
      <c r="F195" s="541"/>
      <c r="G195" s="581"/>
      <c r="H195" s="580">
        <f t="shared" si="13"/>
        <v>6549</v>
      </c>
      <c r="I195" s="471">
        <f>400-400</f>
        <v>0</v>
      </c>
      <c r="J195" s="466">
        <f>1900</f>
        <v>1900</v>
      </c>
      <c r="K195" s="466">
        <f>1300-K172</f>
        <v>849</v>
      </c>
      <c r="L195" s="466">
        <v>1900</v>
      </c>
      <c r="M195" s="483">
        <v>1900</v>
      </c>
    </row>
    <row r="196" spans="2:17" x14ac:dyDescent="0.25">
      <c r="B196" s="582" t="s">
        <v>26</v>
      </c>
      <c r="C196" s="677"/>
      <c r="D196" s="567"/>
      <c r="E196" s="540"/>
      <c r="F196" s="541"/>
      <c r="G196" s="583"/>
      <c r="H196" s="580">
        <f t="shared" si="13"/>
        <v>0</v>
      </c>
      <c r="I196" s="471">
        <f>1170.95242-1170.95242</f>
        <v>0</v>
      </c>
      <c r="J196" s="466">
        <v>0</v>
      </c>
      <c r="K196" s="466">
        <v>0</v>
      </c>
      <c r="L196" s="466">
        <v>0</v>
      </c>
      <c r="M196" s="483">
        <v>0</v>
      </c>
    </row>
    <row r="197" spans="2:17" ht="33" x14ac:dyDescent="0.25">
      <c r="B197" s="582" t="s">
        <v>27</v>
      </c>
      <c r="C197" s="678"/>
      <c r="D197" s="567"/>
      <c r="E197" s="540"/>
      <c r="F197" s="541"/>
      <c r="G197" s="583"/>
      <c r="H197" s="580">
        <f t="shared" si="13"/>
        <v>514.83924999999999</v>
      </c>
      <c r="I197" s="471">
        <v>514.83924999999999</v>
      </c>
      <c r="J197" s="466">
        <v>0</v>
      </c>
      <c r="K197" s="466">
        <v>0</v>
      </c>
      <c r="L197" s="466">
        <v>0</v>
      </c>
      <c r="M197" s="483">
        <v>0</v>
      </c>
    </row>
    <row r="198" spans="2:17" hidden="1" outlineLevel="1" x14ac:dyDescent="0.25">
      <c r="B198" s="582" t="s">
        <v>28</v>
      </c>
      <c r="C198" s="583"/>
      <c r="D198" s="567"/>
      <c r="E198" s="540"/>
      <c r="F198" s="541"/>
      <c r="G198" s="583"/>
      <c r="H198" s="471"/>
      <c r="I198" s="471">
        <v>0</v>
      </c>
      <c r="J198" s="466">
        <v>0</v>
      </c>
      <c r="K198" s="466">
        <v>0</v>
      </c>
      <c r="L198" s="466">
        <v>0</v>
      </c>
      <c r="M198" s="483">
        <v>0</v>
      </c>
    </row>
    <row r="199" spans="2:17" ht="17.25" collapsed="1" x14ac:dyDescent="0.25">
      <c r="B199" s="549" t="s">
        <v>16</v>
      </c>
      <c r="C199" s="583"/>
      <c r="D199" s="567"/>
      <c r="E199" s="540"/>
      <c r="F199" s="541"/>
      <c r="G199" s="540"/>
      <c r="H199" s="473"/>
      <c r="I199" s="668"/>
      <c r="J199" s="669"/>
      <c r="K199" s="669"/>
      <c r="L199" s="669"/>
      <c r="M199" s="670"/>
    </row>
    <row r="200" spans="2:17" x14ac:dyDescent="0.25">
      <c r="B200" s="492" t="s">
        <v>77</v>
      </c>
      <c r="C200" s="583"/>
      <c r="D200" s="567"/>
      <c r="E200" s="540"/>
      <c r="F200" s="541"/>
      <c r="G200" s="540"/>
      <c r="H200" s="471">
        <f>SUM(I200:M200)</f>
        <v>0</v>
      </c>
      <c r="I200" s="471">
        <v>0</v>
      </c>
      <c r="J200" s="471">
        <v>0</v>
      </c>
      <c r="K200" s="471">
        <v>0</v>
      </c>
      <c r="L200" s="471">
        <v>0</v>
      </c>
      <c r="M200" s="548">
        <v>0</v>
      </c>
    </row>
    <row r="201" spans="2:17" x14ac:dyDescent="0.25">
      <c r="B201" s="492" t="s">
        <v>9</v>
      </c>
      <c r="C201" s="583"/>
      <c r="D201" s="567"/>
      <c r="E201" s="540"/>
      <c r="F201" s="541"/>
      <c r="G201" s="583"/>
      <c r="H201" s="471">
        <f>SUM(I201:M201)</f>
        <v>5806.1000002599994</v>
      </c>
      <c r="I201" s="471">
        <v>5806.1000002599994</v>
      </c>
      <c r="J201" s="471">
        <v>0</v>
      </c>
      <c r="K201" s="471">
        <v>0</v>
      </c>
      <c r="L201" s="471">
        <v>0</v>
      </c>
      <c r="M201" s="548">
        <v>0</v>
      </c>
    </row>
    <row r="202" spans="2:17" x14ac:dyDescent="0.25">
      <c r="B202" s="492" t="s">
        <v>10</v>
      </c>
      <c r="C202" s="583"/>
      <c r="D202" s="583"/>
      <c r="E202" s="540"/>
      <c r="F202" s="541"/>
      <c r="G202" s="583"/>
      <c r="H202" s="471">
        <f>SUM(I202:M202)</f>
        <v>11425.6</v>
      </c>
      <c r="I202" s="471">
        <v>3525.6</v>
      </c>
      <c r="J202" s="471">
        <f>J172+J173+J195</f>
        <v>2200</v>
      </c>
      <c r="K202" s="471">
        <f>K172+K173+K195</f>
        <v>1300</v>
      </c>
      <c r="L202" s="471">
        <f>L172+L173+L195</f>
        <v>2200</v>
      </c>
      <c r="M202" s="548">
        <f>M172+M173+M195</f>
        <v>2200</v>
      </c>
      <c r="N202" s="270"/>
    </row>
    <row r="203" spans="2:17" ht="17.25" x14ac:dyDescent="0.25">
      <c r="B203" s="664"/>
      <c r="C203" s="665"/>
      <c r="D203" s="665"/>
      <c r="E203" s="665"/>
      <c r="F203" s="665"/>
      <c r="G203" s="665"/>
      <c r="H203" s="665"/>
      <c r="I203" s="665"/>
      <c r="J203" s="665"/>
      <c r="K203" s="665"/>
      <c r="L203" s="665"/>
      <c r="M203" s="671"/>
      <c r="N203" s="298"/>
    </row>
    <row r="204" spans="2:17" x14ac:dyDescent="0.25">
      <c r="B204" s="534" t="s">
        <v>133</v>
      </c>
      <c r="C204" s="535"/>
      <c r="D204" s="575"/>
      <c r="E204" s="576"/>
      <c r="F204" s="691" t="s">
        <v>141</v>
      </c>
      <c r="G204" s="692"/>
      <c r="H204" s="474"/>
      <c r="I204" s="476"/>
      <c r="J204" s="459"/>
      <c r="K204" s="472"/>
      <c r="L204" s="476"/>
      <c r="M204" s="536"/>
    </row>
    <row r="205" spans="2:17" ht="115.5" x14ac:dyDescent="0.25">
      <c r="B205" s="527" t="s">
        <v>12</v>
      </c>
      <c r="C205" s="538" t="s">
        <v>320</v>
      </c>
      <c r="D205" s="538">
        <v>2022</v>
      </c>
      <c r="E205" s="538">
        <v>2023</v>
      </c>
      <c r="F205" s="693"/>
      <c r="G205" s="694"/>
      <c r="H205" s="584">
        <f>H206</f>
        <v>369987.37375999999</v>
      </c>
      <c r="I205" s="457">
        <f>SUM(I206)</f>
        <v>79600</v>
      </c>
      <c r="J205" s="457">
        <f>SUM(J206)</f>
        <v>149100</v>
      </c>
      <c r="K205" s="457">
        <f>SUM(K206)</f>
        <v>27015.85859</v>
      </c>
      <c r="L205" s="457">
        <f>SUM(L206)</f>
        <v>23780.909100000001</v>
      </c>
      <c r="M205" s="529">
        <f>SUM(M206)</f>
        <v>90490.606070000009</v>
      </c>
      <c r="N205" s="299"/>
      <c r="O205" s="299"/>
      <c r="P205" s="250"/>
      <c r="Q205" s="299"/>
    </row>
    <row r="206" spans="2:17" ht="51" customHeight="1" x14ac:dyDescent="0.25">
      <c r="B206" s="492" t="s">
        <v>34</v>
      </c>
      <c r="C206" s="540"/>
      <c r="D206" s="583"/>
      <c r="E206" s="567"/>
      <c r="F206" s="585"/>
      <c r="G206" s="540"/>
      <c r="H206" s="473">
        <f>SUM(I206:M206)</f>
        <v>369987.37375999999</v>
      </c>
      <c r="I206" s="471">
        <f>SUM(I209:I211)</f>
        <v>79600</v>
      </c>
      <c r="J206" s="471">
        <f>SUM(J209:J211)</f>
        <v>149100</v>
      </c>
      <c r="K206" s="471">
        <f>SUM(K209:K211)</f>
        <v>27015.85859</v>
      </c>
      <c r="L206" s="471">
        <f>SUM(L209:L211)</f>
        <v>23780.909100000001</v>
      </c>
      <c r="M206" s="548">
        <f>SUM(M209:M211)</f>
        <v>90490.606070000009</v>
      </c>
      <c r="O206" s="299"/>
      <c r="P206" s="250"/>
    </row>
    <row r="207" spans="2:17" hidden="1" outlineLevel="1" x14ac:dyDescent="0.25">
      <c r="B207" s="582" t="s">
        <v>28</v>
      </c>
      <c r="C207" s="540"/>
      <c r="D207" s="583"/>
      <c r="E207" s="567"/>
      <c r="F207" s="585"/>
      <c r="G207" s="540"/>
      <c r="H207" s="473"/>
      <c r="I207" s="471"/>
      <c r="J207" s="464"/>
      <c r="K207" s="473"/>
      <c r="L207" s="471"/>
      <c r="M207" s="548"/>
      <c r="O207" s="299"/>
      <c r="P207" s="250"/>
    </row>
    <row r="208" spans="2:17" ht="17.25" collapsed="1" x14ac:dyDescent="0.25">
      <c r="B208" s="549" t="s">
        <v>16</v>
      </c>
      <c r="C208" s="540"/>
      <c r="D208" s="583"/>
      <c r="E208" s="567"/>
      <c r="F208" s="585"/>
      <c r="G208" s="540"/>
      <c r="H208" s="473"/>
      <c r="I208" s="668"/>
      <c r="J208" s="669"/>
      <c r="K208" s="669"/>
      <c r="L208" s="669"/>
      <c r="M208" s="670"/>
      <c r="O208" s="299"/>
      <c r="P208" s="250"/>
    </row>
    <row r="209" spans="2:16" x14ac:dyDescent="0.25">
      <c r="B209" s="492" t="s">
        <v>77</v>
      </c>
      <c r="C209" s="540"/>
      <c r="D209" s="583"/>
      <c r="E209" s="567"/>
      <c r="F209" s="585"/>
      <c r="G209" s="540"/>
      <c r="H209" s="473">
        <f>SUM(I209:M209)</f>
        <v>245652.20000000004</v>
      </c>
      <c r="I209" s="471">
        <v>72831.3</v>
      </c>
      <c r="J209" s="471">
        <v>42407.9</v>
      </c>
      <c r="K209" s="471">
        <v>26478.2</v>
      </c>
      <c r="L209" s="471">
        <v>23307.7</v>
      </c>
      <c r="M209" s="548">
        <v>80627.100000000006</v>
      </c>
      <c r="O209" s="299">
        <v>86800</v>
      </c>
      <c r="P209" s="250"/>
    </row>
    <row r="210" spans="2:16" x14ac:dyDescent="0.25">
      <c r="B210" s="492" t="s">
        <v>9</v>
      </c>
      <c r="C210" s="540"/>
      <c r="D210" s="583"/>
      <c r="E210" s="567"/>
      <c r="F210" s="585"/>
      <c r="G210" s="540"/>
      <c r="H210" s="473">
        <f>SUM(I210:M210)</f>
        <v>122922.3</v>
      </c>
      <c r="I210" s="471">
        <v>6768.7</v>
      </c>
      <c r="J210" s="471">
        <f>37192.1+69500</f>
        <v>106692.1</v>
      </c>
      <c r="K210" s="471">
        <f>267500/1000</f>
        <v>267.5</v>
      </c>
      <c r="L210" s="471">
        <v>235.4</v>
      </c>
      <c r="M210" s="548">
        <v>8958.6</v>
      </c>
      <c r="O210" s="299">
        <v>62300</v>
      </c>
      <c r="P210" s="250"/>
    </row>
    <row r="211" spans="2:16" x14ac:dyDescent="0.25">
      <c r="B211" s="492" t="s">
        <v>10</v>
      </c>
      <c r="C211" s="583"/>
      <c r="D211" s="583"/>
      <c r="E211" s="540"/>
      <c r="F211" s="541"/>
      <c r="G211" s="583"/>
      <c r="H211" s="473">
        <f>SUM(I211:M211)</f>
        <v>1412.8737599999999</v>
      </c>
      <c r="I211" s="471">
        <v>0</v>
      </c>
      <c r="J211" s="471">
        <v>0</v>
      </c>
      <c r="K211" s="471">
        <v>270.15859</v>
      </c>
      <c r="L211" s="471">
        <v>237.8091</v>
      </c>
      <c r="M211" s="548">
        <v>904.90607</v>
      </c>
      <c r="O211" s="299">
        <f>SUM(O209:O210)</f>
        <v>149100</v>
      </c>
      <c r="P211" s="250"/>
    </row>
    <row r="212" spans="2:16" ht="17.25" x14ac:dyDescent="0.25">
      <c r="B212" s="664"/>
      <c r="C212" s="665"/>
      <c r="D212" s="665"/>
      <c r="E212" s="665"/>
      <c r="F212" s="665"/>
      <c r="G212" s="665"/>
      <c r="H212" s="665"/>
      <c r="I212" s="665"/>
      <c r="J212" s="665"/>
      <c r="K212" s="665"/>
      <c r="L212" s="665"/>
      <c r="M212" s="671"/>
      <c r="O212" s="299"/>
      <c r="P212" s="250"/>
    </row>
    <row r="213" spans="2:16" x14ac:dyDescent="0.25">
      <c r="B213" s="534" t="s">
        <v>185</v>
      </c>
      <c r="C213" s="535"/>
      <c r="D213" s="575"/>
      <c r="E213" s="576"/>
      <c r="F213" s="695"/>
      <c r="G213" s="696"/>
      <c r="H213" s="459"/>
      <c r="I213" s="472"/>
      <c r="J213" s="476"/>
      <c r="K213" s="474"/>
      <c r="L213" s="476"/>
      <c r="M213" s="586"/>
    </row>
    <row r="214" spans="2:16" ht="59.25" customHeight="1" x14ac:dyDescent="0.25">
      <c r="B214" s="537" t="s">
        <v>11</v>
      </c>
      <c r="C214" s="649" t="s">
        <v>677</v>
      </c>
      <c r="D214" s="538">
        <v>2022</v>
      </c>
      <c r="E214" s="538">
        <v>2026</v>
      </c>
      <c r="F214" s="697"/>
      <c r="G214" s="698"/>
      <c r="H214" s="475">
        <f>SUM(I214:M214)</f>
        <v>32992.625690000001</v>
      </c>
      <c r="I214" s="475">
        <f>SUM(I215:I222)</f>
        <v>7042.6256899999998</v>
      </c>
      <c r="J214" s="475">
        <f>SUM(J215:J222)</f>
        <v>0</v>
      </c>
      <c r="K214" s="475">
        <f>SUM(K215:K224)</f>
        <v>600</v>
      </c>
      <c r="L214" s="475">
        <f>SUM(L215:L222)</f>
        <v>25350</v>
      </c>
      <c r="M214" s="529">
        <f>SUM(M215:M222)</f>
        <v>0</v>
      </c>
      <c r="N214" s="249"/>
    </row>
    <row r="215" spans="2:16" s="294" customFormat="1" ht="17.25" x14ac:dyDescent="0.25">
      <c r="B215" s="492" t="s">
        <v>314</v>
      </c>
      <c r="C215" s="650"/>
      <c r="D215" s="618"/>
      <c r="E215" s="619"/>
      <c r="F215" s="620"/>
      <c r="G215" s="621"/>
      <c r="H215" s="473">
        <f t="shared" ref="H215:H229" si="14">SUM(I215:M215)</f>
        <v>1758.8771999999999</v>
      </c>
      <c r="I215" s="465">
        <v>1758.8771999999999</v>
      </c>
      <c r="J215" s="465">
        <v>0</v>
      </c>
      <c r="K215" s="465">
        <v>0</v>
      </c>
      <c r="L215" s="465">
        <v>0</v>
      </c>
      <c r="M215" s="561">
        <v>0</v>
      </c>
      <c r="N215" s="295"/>
    </row>
    <row r="216" spans="2:16" s="294" customFormat="1" ht="33" x14ac:dyDescent="0.25">
      <c r="B216" s="582" t="s">
        <v>252</v>
      </c>
      <c r="C216" s="650"/>
      <c r="D216" s="583"/>
      <c r="E216" s="567"/>
      <c r="F216" s="541"/>
      <c r="G216" s="479"/>
      <c r="H216" s="473">
        <f t="shared" si="14"/>
        <v>576.50667999999996</v>
      </c>
      <c r="I216" s="465">
        <v>576.50667999999996</v>
      </c>
      <c r="J216" s="465">
        <v>0</v>
      </c>
      <c r="K216" s="465">
        <v>0</v>
      </c>
      <c r="L216" s="465">
        <v>0</v>
      </c>
      <c r="M216" s="561">
        <v>0</v>
      </c>
      <c r="N216" s="300"/>
      <c r="O216" s="301"/>
    </row>
    <row r="217" spans="2:16" s="294" customFormat="1" ht="33" x14ac:dyDescent="0.25">
      <c r="B217" s="582" t="s">
        <v>253</v>
      </c>
      <c r="C217" s="650"/>
      <c r="D217" s="583"/>
      <c r="E217" s="567"/>
      <c r="F217" s="541"/>
      <c r="G217" s="479"/>
      <c r="H217" s="473">
        <f t="shared" si="14"/>
        <v>863.57280000000003</v>
      </c>
      <c r="I217" s="465">
        <v>863.57280000000003</v>
      </c>
      <c r="J217" s="465">
        <v>0</v>
      </c>
      <c r="K217" s="465">
        <v>0</v>
      </c>
      <c r="L217" s="465">
        <v>0</v>
      </c>
      <c r="M217" s="561">
        <v>0</v>
      </c>
      <c r="N217" s="295"/>
    </row>
    <row r="218" spans="2:16" s="279" customFormat="1" x14ac:dyDescent="0.25">
      <c r="B218" s="582" t="s">
        <v>313</v>
      </c>
      <c r="C218" s="650"/>
      <c r="D218" s="583"/>
      <c r="E218" s="567"/>
      <c r="F218" s="541"/>
      <c r="G218" s="479"/>
      <c r="H218" s="473">
        <f t="shared" si="14"/>
        <v>1361.5830000000001</v>
      </c>
      <c r="I218" s="465">
        <v>1361.5830000000001</v>
      </c>
      <c r="J218" s="465">
        <v>0</v>
      </c>
      <c r="K218" s="465">
        <v>0</v>
      </c>
      <c r="L218" s="465">
        <v>0</v>
      </c>
      <c r="M218" s="561">
        <v>0</v>
      </c>
      <c r="N218" s="295"/>
    </row>
    <row r="219" spans="2:16" s="279" customFormat="1" ht="49.5" x14ac:dyDescent="0.25">
      <c r="B219" s="582" t="s">
        <v>296</v>
      </c>
      <c r="C219" s="650"/>
      <c r="D219" s="583"/>
      <c r="E219" s="567"/>
      <c r="F219" s="541"/>
      <c r="G219" s="479"/>
      <c r="H219" s="473">
        <f>SUM(J219:M219)</f>
        <v>600</v>
      </c>
      <c r="I219" s="465">
        <v>0</v>
      </c>
      <c r="J219" s="465">
        <v>0</v>
      </c>
      <c r="K219" s="465">
        <v>600</v>
      </c>
      <c r="L219" s="471">
        <v>0</v>
      </c>
      <c r="M219" s="548">
        <v>0</v>
      </c>
      <c r="N219" s="280"/>
    </row>
    <row r="220" spans="2:16" s="294" customFormat="1" ht="49.5" x14ac:dyDescent="0.25">
      <c r="B220" s="492" t="s">
        <v>391</v>
      </c>
      <c r="C220" s="650"/>
      <c r="D220" s="583"/>
      <c r="E220" s="567"/>
      <c r="F220" s="541"/>
      <c r="G220" s="479"/>
      <c r="H220" s="473">
        <f t="shared" si="14"/>
        <v>2443.9362099999998</v>
      </c>
      <c r="I220" s="465">
        <v>2443.9362099999998</v>
      </c>
      <c r="J220" s="465">
        <v>0</v>
      </c>
      <c r="K220" s="471">
        <v>0</v>
      </c>
      <c r="L220" s="471">
        <v>0</v>
      </c>
      <c r="M220" s="548">
        <v>0</v>
      </c>
      <c r="N220" s="295"/>
    </row>
    <row r="221" spans="2:16" s="294" customFormat="1" x14ac:dyDescent="0.25">
      <c r="B221" s="582" t="s">
        <v>393</v>
      </c>
      <c r="C221" s="650"/>
      <c r="D221" s="583"/>
      <c r="E221" s="567"/>
      <c r="F221" s="541"/>
      <c r="G221" s="479"/>
      <c r="H221" s="473">
        <f t="shared" si="14"/>
        <v>38.149799999999999</v>
      </c>
      <c r="I221" s="465">
        <v>38.149799999999999</v>
      </c>
      <c r="J221" s="465">
        <v>0</v>
      </c>
      <c r="K221" s="471">
        <v>0</v>
      </c>
      <c r="L221" s="471">
        <v>0</v>
      </c>
      <c r="M221" s="548">
        <v>0</v>
      </c>
      <c r="N221" s="295"/>
    </row>
    <row r="222" spans="2:16" s="279" customFormat="1" ht="33" x14ac:dyDescent="0.25">
      <c r="B222" s="582" t="s">
        <v>250</v>
      </c>
      <c r="C222" s="650"/>
      <c r="D222" s="583"/>
      <c r="E222" s="567"/>
      <c r="F222" s="541"/>
      <c r="G222" s="479">
        <v>2.2799999999999998</v>
      </c>
      <c r="H222" s="473">
        <f t="shared" si="14"/>
        <v>25350</v>
      </c>
      <c r="I222" s="465">
        <v>0</v>
      </c>
      <c r="J222" s="465">
        <v>0</v>
      </c>
      <c r="K222" s="471">
        <v>0</v>
      </c>
      <c r="L222" s="471">
        <f>24300+1050</f>
        <v>25350</v>
      </c>
      <c r="M222" s="548">
        <v>0</v>
      </c>
      <c r="N222" s="302"/>
    </row>
    <row r="223" spans="2:16" ht="17.25" hidden="1" customHeight="1" outlineLevel="1" x14ac:dyDescent="0.25">
      <c r="B223" s="549" t="s">
        <v>414</v>
      </c>
      <c r="C223" s="650"/>
      <c r="D223" s="583"/>
      <c r="E223" s="567"/>
      <c r="F223" s="541"/>
      <c r="G223" s="479"/>
      <c r="H223" s="473">
        <f t="shared" si="14"/>
        <v>0</v>
      </c>
      <c r="I223" s="465"/>
      <c r="J223" s="465"/>
      <c r="K223" s="471"/>
      <c r="L223" s="471"/>
      <c r="M223" s="548"/>
    </row>
    <row r="224" spans="2:16" ht="16.5" hidden="1" customHeight="1" outlineLevel="1" x14ac:dyDescent="0.25">
      <c r="B224" s="582" t="s">
        <v>415</v>
      </c>
      <c r="C224" s="650"/>
      <c r="D224" s="583"/>
      <c r="E224" s="567"/>
      <c r="F224" s="541"/>
      <c r="G224" s="479"/>
      <c r="H224" s="473">
        <f t="shared" si="14"/>
        <v>0</v>
      </c>
      <c r="I224" s="465"/>
      <c r="J224" s="465">
        <f>300-300</f>
        <v>0</v>
      </c>
      <c r="K224" s="471"/>
      <c r="L224" s="471"/>
      <c r="M224" s="548"/>
    </row>
    <row r="225" spans="2:15" ht="33" hidden="1" outlineLevel="1" x14ac:dyDescent="0.25">
      <c r="B225" s="582" t="s">
        <v>420</v>
      </c>
      <c r="C225" s="540"/>
      <c r="D225" s="583"/>
      <c r="E225" s="567"/>
      <c r="F225" s="541"/>
      <c r="G225" s="479"/>
      <c r="H225" s="473"/>
      <c r="I225" s="465"/>
      <c r="J225" s="465"/>
      <c r="K225" s="471"/>
      <c r="L225" s="471"/>
      <c r="M225" s="548"/>
    </row>
    <row r="226" spans="2:15" ht="33" hidden="1" outlineLevel="1" x14ac:dyDescent="0.25">
      <c r="B226" s="582" t="s">
        <v>416</v>
      </c>
      <c r="C226" s="540"/>
      <c r="D226" s="583"/>
      <c r="E226" s="567"/>
      <c r="F226" s="541"/>
      <c r="G226" s="479"/>
      <c r="H226" s="473"/>
      <c r="I226" s="465"/>
      <c r="J226" s="465"/>
      <c r="K226" s="471"/>
      <c r="L226" s="471"/>
      <c r="M226" s="548"/>
    </row>
    <row r="227" spans="2:15" ht="17.25" collapsed="1" x14ac:dyDescent="0.25">
      <c r="B227" s="549" t="s">
        <v>16</v>
      </c>
      <c r="C227" s="583"/>
      <c r="D227" s="583"/>
      <c r="E227" s="540"/>
      <c r="F227" s="541"/>
      <c r="G227" s="479"/>
      <c r="H227" s="473"/>
      <c r="I227" s="465"/>
      <c r="J227" s="465"/>
      <c r="K227" s="471"/>
      <c r="L227" s="471"/>
      <c r="M227" s="548"/>
      <c r="O227" s="279"/>
    </row>
    <row r="228" spans="2:15" x14ac:dyDescent="0.25">
      <c r="B228" s="492" t="s">
        <v>77</v>
      </c>
      <c r="C228" s="583"/>
      <c r="D228" s="583"/>
      <c r="E228" s="540"/>
      <c r="F228" s="541"/>
      <c r="G228" s="583"/>
      <c r="H228" s="473">
        <f t="shared" si="14"/>
        <v>0</v>
      </c>
      <c r="I228" s="465">
        <v>0</v>
      </c>
      <c r="J228" s="465">
        <v>0</v>
      </c>
      <c r="K228" s="465">
        <v>0</v>
      </c>
      <c r="L228" s="465">
        <v>0</v>
      </c>
      <c r="M228" s="561">
        <v>0</v>
      </c>
      <c r="O228" s="279"/>
    </row>
    <row r="229" spans="2:15" x14ac:dyDescent="0.25">
      <c r="B229" s="492" t="s">
        <v>9</v>
      </c>
      <c r="C229" s="583"/>
      <c r="D229" s="583"/>
      <c r="E229" s="540"/>
      <c r="F229" s="541"/>
      <c r="G229" s="583"/>
      <c r="H229" s="473">
        <f t="shared" si="14"/>
        <v>0</v>
      </c>
      <c r="I229" s="465">
        <v>0</v>
      </c>
      <c r="J229" s="465">
        <v>0</v>
      </c>
      <c r="K229" s="465">
        <v>0</v>
      </c>
      <c r="L229" s="465">
        <v>0</v>
      </c>
      <c r="M229" s="561">
        <v>0</v>
      </c>
    </row>
    <row r="230" spans="2:15" x14ac:dyDescent="0.25">
      <c r="B230" s="492" t="s">
        <v>10</v>
      </c>
      <c r="C230" s="479"/>
      <c r="D230" s="479"/>
      <c r="E230" s="587"/>
      <c r="F230" s="572"/>
      <c r="G230" s="479"/>
      <c r="H230" s="473">
        <f>SUM(I230:M230)</f>
        <v>33781.9</v>
      </c>
      <c r="I230" s="465">
        <f>189.3+1440.1+5602.5+600</f>
        <v>7831.9</v>
      </c>
      <c r="J230" s="465">
        <v>0</v>
      </c>
      <c r="K230" s="465">
        <f>'перечень объектов'!C263</f>
        <v>600</v>
      </c>
      <c r="L230" s="465">
        <f>24300+1050</f>
        <v>25350</v>
      </c>
      <c r="M230" s="561">
        <v>0</v>
      </c>
    </row>
    <row r="231" spans="2:15" x14ac:dyDescent="0.25">
      <c r="B231" s="588"/>
      <c r="C231" s="575"/>
      <c r="D231" s="575"/>
      <c r="E231" s="535"/>
      <c r="F231" s="589"/>
      <c r="G231" s="575"/>
      <c r="H231" s="476"/>
      <c r="I231" s="476"/>
      <c r="J231" s="476"/>
      <c r="K231" s="476"/>
      <c r="L231" s="476"/>
      <c r="M231" s="536"/>
    </row>
    <row r="232" spans="2:15" x14ac:dyDescent="0.25">
      <c r="B232" s="534" t="s">
        <v>189</v>
      </c>
      <c r="C232" s="703" t="s">
        <v>321</v>
      </c>
      <c r="D232" s="535"/>
      <c r="E232" s="535"/>
      <c r="F232" s="691"/>
      <c r="G232" s="692"/>
      <c r="H232" s="474"/>
      <c r="I232" s="476"/>
      <c r="J232" s="474"/>
      <c r="K232" s="474"/>
      <c r="L232" s="474"/>
      <c r="M232" s="586"/>
    </row>
    <row r="233" spans="2:15" ht="33" customHeight="1" x14ac:dyDescent="0.25">
      <c r="B233" s="537" t="s">
        <v>138</v>
      </c>
      <c r="C233" s="677"/>
      <c r="D233" s="538">
        <v>2022</v>
      </c>
      <c r="E233" s="538">
        <v>2025</v>
      </c>
      <c r="F233" s="693"/>
      <c r="G233" s="694"/>
      <c r="H233" s="460">
        <f t="shared" ref="H233:M233" si="15">SUM(H234:H234)</f>
        <v>2002185.3086558585</v>
      </c>
      <c r="I233" s="457">
        <f t="shared" si="15"/>
        <v>483049.76000999997</v>
      </c>
      <c r="J233" s="457">
        <f t="shared" si="15"/>
        <v>1518965.3725858587</v>
      </c>
      <c r="K233" s="457">
        <f t="shared" si="15"/>
        <v>170.17606000000001</v>
      </c>
      <c r="L233" s="457">
        <f t="shared" si="15"/>
        <v>0</v>
      </c>
      <c r="M233" s="529">
        <f t="shared" si="15"/>
        <v>0</v>
      </c>
    </row>
    <row r="234" spans="2:15" x14ac:dyDescent="0.25">
      <c r="B234" s="492" t="s">
        <v>76</v>
      </c>
      <c r="C234" s="677"/>
      <c r="D234" s="540"/>
      <c r="E234" s="540"/>
      <c r="F234" s="541"/>
      <c r="G234" s="542"/>
      <c r="H234" s="466">
        <f>SUM(I234:M234)</f>
        <v>2002185.3086558585</v>
      </c>
      <c r="I234" s="465">
        <f>I236+I238+I237</f>
        <v>483049.76000999997</v>
      </c>
      <c r="J234" s="465">
        <f>J236+J238+J237</f>
        <v>1518965.3725858587</v>
      </c>
      <c r="K234" s="465">
        <v>170.17606000000001</v>
      </c>
      <c r="L234" s="465">
        <v>0</v>
      </c>
      <c r="M234" s="561">
        <v>0</v>
      </c>
    </row>
    <row r="235" spans="2:15" ht="17.25" x14ac:dyDescent="0.25">
      <c r="B235" s="549" t="s">
        <v>16</v>
      </c>
      <c r="C235" s="479"/>
      <c r="D235" s="479"/>
      <c r="E235" s="587"/>
      <c r="F235" s="572"/>
      <c r="G235" s="479"/>
      <c r="H235" s="465"/>
      <c r="I235" s="465"/>
      <c r="J235" s="465"/>
      <c r="K235" s="465"/>
      <c r="L235" s="465"/>
      <c r="M235" s="561"/>
      <c r="O235" s="251">
        <v>80143.195330000002</v>
      </c>
    </row>
    <row r="236" spans="2:15" x14ac:dyDescent="0.25">
      <c r="B236" s="492" t="s">
        <v>77</v>
      </c>
      <c r="C236" s="479"/>
      <c r="D236" s="479"/>
      <c r="E236" s="587"/>
      <c r="F236" s="572"/>
      <c r="G236" s="479"/>
      <c r="H236" s="465">
        <f>SUM(I236:M236)</f>
        <v>1876816.5600100001</v>
      </c>
      <c r="I236" s="465">
        <f>332189.3+45725.46001</f>
        <v>377914.76000999997</v>
      </c>
      <c r="J236" s="465">
        <f>395980+387389+665532.8+50000</f>
        <v>1498901.8</v>
      </c>
      <c r="K236" s="465">
        <v>0</v>
      </c>
      <c r="L236" s="465">
        <v>0</v>
      </c>
      <c r="M236" s="483">
        <v>0</v>
      </c>
      <c r="N236" s="303"/>
    </row>
    <row r="237" spans="2:15" x14ac:dyDescent="0.25">
      <c r="B237" s="492" t="s">
        <v>78</v>
      </c>
      <c r="C237" s="479"/>
      <c r="D237" s="479"/>
      <c r="E237" s="587"/>
      <c r="F237" s="572"/>
      <c r="G237" s="479"/>
      <c r="H237" s="465">
        <f>SUM(I237:M237)</f>
        <v>104873.91885999998</v>
      </c>
      <c r="I237" s="465">
        <f>100000</f>
        <v>100000</v>
      </c>
      <c r="J237" s="465">
        <f>640263.5+203397+112583-143.19533-951226.38581</f>
        <v>4873.9188599999761</v>
      </c>
      <c r="K237" s="465">
        <f>395980-203397-112583+143.19533-80143.19533</f>
        <v>0</v>
      </c>
      <c r="L237" s="465">
        <v>0</v>
      </c>
      <c r="M237" s="483">
        <v>0</v>
      </c>
      <c r="N237" s="303"/>
    </row>
    <row r="238" spans="2:15" x14ac:dyDescent="0.25">
      <c r="B238" s="492" t="s">
        <v>10</v>
      </c>
      <c r="C238" s="479"/>
      <c r="D238" s="479"/>
      <c r="E238" s="587"/>
      <c r="F238" s="572"/>
      <c r="G238" s="479"/>
      <c r="H238" s="465">
        <f>SUM(I238:M238)</f>
        <v>20494.829785858568</v>
      </c>
      <c r="I238" s="465">
        <v>5135</v>
      </c>
      <c r="J238" s="465">
        <f>(J236/0.99-J236)+(J237/0.99-J237)</f>
        <v>15189.653725858565</v>
      </c>
      <c r="K238" s="465">
        <f>K234</f>
        <v>170.17606000000001</v>
      </c>
      <c r="L238" s="465">
        <v>0</v>
      </c>
      <c r="M238" s="483">
        <v>0</v>
      </c>
      <c r="N238" s="304"/>
      <c r="O238" s="251" t="s">
        <v>640</v>
      </c>
    </row>
    <row r="239" spans="2:15" ht="18" customHeight="1" x14ac:dyDescent="0.25">
      <c r="B239" s="664"/>
      <c r="C239" s="665"/>
      <c r="D239" s="665"/>
      <c r="E239" s="665"/>
      <c r="F239" s="701"/>
      <c r="G239" s="701"/>
      <c r="H239" s="665"/>
      <c r="I239" s="665"/>
      <c r="J239" s="665"/>
      <c r="K239" s="665"/>
      <c r="L239" s="665"/>
      <c r="M239" s="671"/>
      <c r="N239" s="304"/>
      <c r="O239" s="251" t="s">
        <v>639</v>
      </c>
    </row>
    <row r="240" spans="2:15" ht="16.5" customHeight="1" x14ac:dyDescent="0.25">
      <c r="B240" s="590" t="s">
        <v>294</v>
      </c>
      <c r="C240" s="707" t="s">
        <v>680</v>
      </c>
      <c r="D240" s="591"/>
      <c r="E240" s="551"/>
      <c r="F240" s="699" t="s">
        <v>808</v>
      </c>
      <c r="G240" s="696"/>
      <c r="H240" s="467"/>
      <c r="I240" s="553"/>
      <c r="J240" s="553"/>
      <c r="K240" s="467"/>
      <c r="L240" s="467"/>
      <c r="M240" s="554"/>
      <c r="N240" s="304"/>
      <c r="O240" s="250">
        <v>275281.8</v>
      </c>
    </row>
    <row r="241" spans="2:15" ht="54" customHeight="1" x14ac:dyDescent="0.25">
      <c r="B241" s="704" t="s">
        <v>295</v>
      </c>
      <c r="C241" s="708"/>
      <c r="D241" s="676">
        <v>2022</v>
      </c>
      <c r="E241" s="676">
        <v>2026</v>
      </c>
      <c r="F241" s="700"/>
      <c r="G241" s="662"/>
      <c r="H241" s="652">
        <f>SUM(H244:H399)</f>
        <v>3114578.9441628158</v>
      </c>
      <c r="I241" s="652">
        <f>SUM(I244:I399)</f>
        <v>133136.90280021049</v>
      </c>
      <c r="J241" s="652">
        <f>SUM(J244:J399)</f>
        <v>315873.19284999982</v>
      </c>
      <c r="K241" s="652">
        <f>SUM(K244:K399)-0.00001</f>
        <v>404023.12141678052</v>
      </c>
      <c r="L241" s="652">
        <f>SUM(L244:L399)</f>
        <v>777898.72707582475</v>
      </c>
      <c r="M241" s="712">
        <f>M254+M398</f>
        <v>3947</v>
      </c>
      <c r="N241" s="249"/>
      <c r="O241" s="250">
        <f>N238-J236</f>
        <v>-1498901.8</v>
      </c>
    </row>
    <row r="242" spans="2:15" ht="18.75" customHeight="1" x14ac:dyDescent="0.25">
      <c r="B242" s="705"/>
      <c r="C242" s="708"/>
      <c r="D242" s="710"/>
      <c r="E242" s="710"/>
      <c r="F242" s="622">
        <f>SUM(F244:F399)</f>
        <v>544620.80000000005</v>
      </c>
      <c r="G242" s="623" t="s">
        <v>417</v>
      </c>
      <c r="H242" s="653"/>
      <c r="I242" s="653"/>
      <c r="J242" s="653"/>
      <c r="K242" s="653"/>
      <c r="L242" s="653"/>
      <c r="M242" s="713"/>
      <c r="N242" s="305"/>
    </row>
    <row r="243" spans="2:15" ht="18.75" customHeight="1" x14ac:dyDescent="0.25">
      <c r="B243" s="706"/>
      <c r="C243" s="709"/>
      <c r="D243" s="711"/>
      <c r="E243" s="711"/>
      <c r="F243" s="624">
        <f>SUM(G244:G399)</f>
        <v>102.96050000000007</v>
      </c>
      <c r="G243" s="625" t="s">
        <v>418</v>
      </c>
      <c r="H243" s="654"/>
      <c r="I243" s="654"/>
      <c r="J243" s="654"/>
      <c r="K243" s="654"/>
      <c r="L243" s="654"/>
      <c r="M243" s="714"/>
    </row>
    <row r="244" spans="2:15" ht="82.5" hidden="1" x14ac:dyDescent="0.25">
      <c r="B244" s="492" t="s">
        <v>305</v>
      </c>
      <c r="C244" s="479"/>
      <c r="D244" s="592"/>
      <c r="E244" s="593"/>
      <c r="F244" s="490">
        <f>1480*8-11840</f>
        <v>0</v>
      </c>
      <c r="G244" s="557">
        <f>1.48-1.48</f>
        <v>0</v>
      </c>
      <c r="H244" s="473">
        <f t="shared" ref="H244:H252" si="16">SUM(I244:M244)</f>
        <v>0</v>
      </c>
      <c r="I244" s="465">
        <f>30430.2076-30430.2076</f>
        <v>0</v>
      </c>
      <c r="J244" s="465">
        <f>169732.91-169732.91</f>
        <v>0</v>
      </c>
      <c r="K244" s="465">
        <v>0</v>
      </c>
      <c r="L244" s="465">
        <v>0</v>
      </c>
      <c r="M244" s="561">
        <v>0</v>
      </c>
    </row>
    <row r="245" spans="2:15" ht="33" x14ac:dyDescent="0.25">
      <c r="B245" s="492" t="s">
        <v>297</v>
      </c>
      <c r="C245" s="479"/>
      <c r="D245" s="479"/>
      <c r="E245" s="594"/>
      <c r="F245" s="595">
        <f>928*8</f>
        <v>7424</v>
      </c>
      <c r="G245" s="479">
        <v>0.94</v>
      </c>
      <c r="H245" s="473">
        <f t="shared" si="16"/>
        <v>67306.476559999996</v>
      </c>
      <c r="I245" s="465">
        <v>53978.952089999999</v>
      </c>
      <c r="J245" s="465">
        <v>13327.52447</v>
      </c>
      <c r="K245" s="465">
        <v>0</v>
      </c>
      <c r="L245" s="465">
        <v>0</v>
      </c>
      <c r="M245" s="561">
        <v>0</v>
      </c>
      <c r="N245" s="249"/>
    </row>
    <row r="246" spans="2:15" ht="33" x14ac:dyDescent="0.25">
      <c r="B246" s="492" t="s">
        <v>442</v>
      </c>
      <c r="C246" s="479"/>
      <c r="D246" s="479"/>
      <c r="E246" s="594"/>
      <c r="F246" s="481">
        <f>340*7</f>
        <v>2380</v>
      </c>
      <c r="G246" s="542">
        <v>0.32200000000000001</v>
      </c>
      <c r="H246" s="473">
        <f t="shared" si="16"/>
        <v>12621.01945</v>
      </c>
      <c r="I246" s="465">
        <v>0</v>
      </c>
      <c r="J246" s="468">
        <v>12621.01945</v>
      </c>
      <c r="K246" s="465">
        <v>0</v>
      </c>
      <c r="L246" s="465">
        <v>0</v>
      </c>
      <c r="M246" s="561">
        <v>0</v>
      </c>
      <c r="N246" s="249"/>
    </row>
    <row r="247" spans="2:15" ht="33" x14ac:dyDescent="0.25">
      <c r="B247" s="492" t="s">
        <v>299</v>
      </c>
      <c r="C247" s="479"/>
      <c r="D247" s="479"/>
      <c r="E247" s="480"/>
      <c r="F247" s="490">
        <f>1160*8</f>
        <v>9280</v>
      </c>
      <c r="G247" s="557">
        <v>1.2</v>
      </c>
      <c r="H247" s="465">
        <f t="shared" si="16"/>
        <v>19064.628000000001</v>
      </c>
      <c r="I247" s="468">
        <f>9931.6025-9931.6025</f>
        <v>0</v>
      </c>
      <c r="J247" s="465">
        <v>19064.628000000001</v>
      </c>
      <c r="K247" s="465">
        <v>0</v>
      </c>
      <c r="L247" s="468">
        <v>0</v>
      </c>
      <c r="M247" s="561">
        <v>0</v>
      </c>
      <c r="N247" s="249"/>
    </row>
    <row r="248" spans="2:15" ht="33" x14ac:dyDescent="0.25">
      <c r="B248" s="492" t="s">
        <v>412</v>
      </c>
      <c r="C248" s="479"/>
      <c r="D248" s="479"/>
      <c r="E248" s="480"/>
      <c r="F248" s="490">
        <f>1380*8</f>
        <v>11040</v>
      </c>
      <c r="G248" s="557">
        <v>1.38</v>
      </c>
      <c r="H248" s="465">
        <f t="shared" si="16"/>
        <v>18412.254913684199</v>
      </c>
      <c r="I248" s="468">
        <f>12329.9016136842+1329.17719+53.16709+2.68521+0.10849+0.00434+0.00022+0.00001-8703.866+366.47857+5719.3884-11097.04513</f>
        <v>3.6842011468252167E-6</v>
      </c>
      <c r="J248" s="465">
        <v>18412.25491</v>
      </c>
      <c r="K248" s="465">
        <v>0</v>
      </c>
      <c r="L248" s="468">
        <v>0</v>
      </c>
      <c r="M248" s="561">
        <v>0</v>
      </c>
    </row>
    <row r="249" spans="2:15" ht="33" x14ac:dyDescent="0.25">
      <c r="B249" s="492" t="s">
        <v>298</v>
      </c>
      <c r="C249" s="479"/>
      <c r="D249" s="479"/>
      <c r="E249" s="480"/>
      <c r="F249" s="481">
        <f>878*8</f>
        <v>7024</v>
      </c>
      <c r="G249" s="596">
        <v>0.878</v>
      </c>
      <c r="H249" s="465">
        <f t="shared" si="16"/>
        <v>19125.659763684198</v>
      </c>
      <c r="I249" s="468">
        <f>12329.9016136842+1329.17719+53.16709+2.68521+0.10849+0.00434+0.00022+0.00001-8703.866+366.47857+5719.3884-11097.04513</f>
        <v>3.6842011468252167E-6</v>
      </c>
      <c r="J249" s="465">
        <v>19125.659759999999</v>
      </c>
      <c r="K249" s="465">
        <v>0</v>
      </c>
      <c r="L249" s="468">
        <v>0</v>
      </c>
      <c r="M249" s="561">
        <v>0</v>
      </c>
      <c r="N249" s="249"/>
    </row>
    <row r="250" spans="2:15" ht="49.5" x14ac:dyDescent="0.25">
      <c r="B250" s="492" t="s">
        <v>432</v>
      </c>
      <c r="C250" s="479"/>
      <c r="D250" s="479"/>
      <c r="E250" s="480"/>
      <c r="F250" s="490">
        <f>530*8</f>
        <v>4240</v>
      </c>
      <c r="G250" s="557">
        <v>0.53</v>
      </c>
      <c r="H250" s="465">
        <f t="shared" si="16"/>
        <v>7675.1715299999996</v>
      </c>
      <c r="I250" s="468">
        <v>0</v>
      </c>
      <c r="J250" s="172">
        <v>7675.1715299999996</v>
      </c>
      <c r="K250" s="477">
        <v>0</v>
      </c>
      <c r="L250" s="462">
        <v>0</v>
      </c>
      <c r="M250" s="561">
        <v>0</v>
      </c>
    </row>
    <row r="251" spans="2:15" ht="49.5" x14ac:dyDescent="0.25">
      <c r="B251" s="492" t="s">
        <v>443</v>
      </c>
      <c r="C251" s="479"/>
      <c r="D251" s="465"/>
      <c r="E251" s="480"/>
      <c r="F251" s="490">
        <f>2460*5</f>
        <v>12300</v>
      </c>
      <c r="G251" s="557">
        <v>2.46</v>
      </c>
      <c r="H251" s="465">
        <f t="shared" si="16"/>
        <v>194813.39166999998</v>
      </c>
      <c r="I251" s="468">
        <v>0</v>
      </c>
      <c r="J251" s="172">
        <f>194813.44216-0.0499-0.00059</f>
        <v>194813.39166999998</v>
      </c>
      <c r="K251" s="477">
        <v>0</v>
      </c>
      <c r="L251" s="462">
        <v>0</v>
      </c>
      <c r="M251" s="561">
        <v>0</v>
      </c>
      <c r="N251" s="249"/>
      <c r="O251" s="250"/>
    </row>
    <row r="252" spans="2:15" ht="99" x14ac:dyDescent="0.25">
      <c r="B252" s="492" t="s">
        <v>889</v>
      </c>
      <c r="C252" s="479"/>
      <c r="D252" s="465"/>
      <c r="E252" s="480"/>
      <c r="F252" s="490">
        <f>G252*1000*4</f>
        <v>10164</v>
      </c>
      <c r="G252" s="557">
        <v>2.5409999999999999</v>
      </c>
      <c r="H252" s="465">
        <f t="shared" si="16"/>
        <v>186108.02</v>
      </c>
      <c r="I252" s="468">
        <v>0</v>
      </c>
      <c r="J252" s="172">
        <v>0</v>
      </c>
      <c r="K252" s="477">
        <f>'перечень объектов'!I268</f>
        <v>0</v>
      </c>
      <c r="L252" s="462">
        <f>'перечень объектов'!C373</f>
        <v>186108.02</v>
      </c>
      <c r="M252" s="561">
        <v>0</v>
      </c>
      <c r="N252" s="249"/>
      <c r="O252" s="250"/>
    </row>
    <row r="253" spans="2:15" s="485" customFormat="1" ht="99" x14ac:dyDescent="0.25">
      <c r="B253" s="478" t="s">
        <v>818</v>
      </c>
      <c r="C253" s="479"/>
      <c r="D253" s="465"/>
      <c r="E253" s="480"/>
      <c r="F253" s="481">
        <v>24650</v>
      </c>
      <c r="G253" s="557">
        <v>2.0865</v>
      </c>
      <c r="H253" s="465">
        <f t="shared" ref="H253:H312" si="17">SUM(I253:M253)</f>
        <v>47953.704003030303</v>
      </c>
      <c r="I253" s="468">
        <v>0</v>
      </c>
      <c r="J253" s="469">
        <v>0</v>
      </c>
      <c r="K253" s="466">
        <f>'перечень объектов'!C268</f>
        <v>47953.704003030303</v>
      </c>
      <c r="L253" s="465">
        <v>0</v>
      </c>
      <c r="M253" s="483">
        <v>0</v>
      </c>
      <c r="N253" s="484"/>
      <c r="O253" s="467">
        <f>49851724.77</f>
        <v>49851724.770000003</v>
      </c>
    </row>
    <row r="254" spans="2:15" ht="82.5" x14ac:dyDescent="0.25">
      <c r="B254" s="492" t="str">
        <f>'перечень объектов'!B376</f>
        <v>ул. Игнатова от ул. Октябрьская до ул. Цветаева, ул. Цветаева от ул. Игнатова до ул. Приборостроительной, ул. Приборостроительная от ул. Цветаева до ул. Героев Пожарных, ул. Героев Пожарных от ул. Приборостроительной до Наугорского шоссе</v>
      </c>
      <c r="C254" s="479"/>
      <c r="D254" s="465"/>
      <c r="E254" s="480"/>
      <c r="F254" s="490">
        <f>2410*16</f>
        <v>38560</v>
      </c>
      <c r="G254" s="557">
        <v>2.41</v>
      </c>
      <c r="H254" s="465">
        <f t="shared" si="17"/>
        <v>69440</v>
      </c>
      <c r="I254" s="468">
        <v>0</v>
      </c>
      <c r="J254" s="468">
        <v>0</v>
      </c>
      <c r="K254" s="468">
        <f>'перечень объектов'!C269</f>
        <v>34720</v>
      </c>
      <c r="L254" s="468">
        <f>'перечень объектов'!C376</f>
        <v>34720</v>
      </c>
      <c r="M254" s="558">
        <v>0</v>
      </c>
      <c r="N254" s="249"/>
      <c r="O254" s="250">
        <f>48042946.02</f>
        <v>48042946.020000003</v>
      </c>
    </row>
    <row r="255" spans="2:15" ht="23.25" hidden="1" customHeight="1" x14ac:dyDescent="0.25">
      <c r="B255" s="572" t="s">
        <v>426</v>
      </c>
      <c r="C255" s="479"/>
      <c r="D255" s="465"/>
      <c r="E255" s="480"/>
      <c r="F255" s="490">
        <f>970*13-12610</f>
        <v>0</v>
      </c>
      <c r="G255" s="557">
        <f>0.97-0.97</f>
        <v>0</v>
      </c>
      <c r="H255" s="465">
        <f t="shared" si="17"/>
        <v>0</v>
      </c>
      <c r="I255" s="468">
        <v>0</v>
      </c>
      <c r="J255" s="468">
        <v>0</v>
      </c>
      <c r="K255" s="468">
        <v>0</v>
      </c>
      <c r="L255" s="465">
        <v>0</v>
      </c>
      <c r="M255" s="561">
        <f>37830-37830</f>
        <v>0</v>
      </c>
      <c r="N255" s="249"/>
      <c r="O255" s="250"/>
    </row>
    <row r="256" spans="2:15" x14ac:dyDescent="0.25">
      <c r="B256" s="492" t="s">
        <v>427</v>
      </c>
      <c r="C256" s="479"/>
      <c r="D256" s="465"/>
      <c r="E256" s="480"/>
      <c r="F256" s="490">
        <f>776*14-10864</f>
        <v>0</v>
      </c>
      <c r="G256" s="557">
        <f>0.776-0.776</f>
        <v>0</v>
      </c>
      <c r="H256" s="465">
        <f t="shared" si="17"/>
        <v>0</v>
      </c>
      <c r="I256" s="468">
        <v>0</v>
      </c>
      <c r="J256" s="468">
        <v>0</v>
      </c>
      <c r="K256" s="468">
        <v>0</v>
      </c>
      <c r="L256" s="465">
        <v>0</v>
      </c>
      <c r="M256" s="561">
        <f>26073.6-26073.6</f>
        <v>0</v>
      </c>
      <c r="N256" s="249"/>
      <c r="O256" s="250"/>
    </row>
    <row r="257" spans="2:15" ht="33" x14ac:dyDescent="0.25">
      <c r="B257" s="492" t="str">
        <f>'по МК 56'!C6</f>
        <v>Капитальный ремонт автомобильных дорог города Орла на улицах частной жилой застройки: ул. Полевая</v>
      </c>
      <c r="C257" s="479"/>
      <c r="D257" s="465"/>
      <c r="E257" s="480"/>
      <c r="F257" s="490">
        <f>G257*4*1000</f>
        <v>4800</v>
      </c>
      <c r="G257" s="557">
        <f>'по МК 56'!D6/1000</f>
        <v>1.2</v>
      </c>
      <c r="H257" s="465">
        <f t="shared" si="17"/>
        <v>8317.1877650000006</v>
      </c>
      <c r="I257" s="468">
        <v>0</v>
      </c>
      <c r="J257" s="465">
        <v>4158.5938800000004</v>
      </c>
      <c r="K257" s="465">
        <v>4158.5938850000002</v>
      </c>
      <c r="L257" s="465">
        <v>0</v>
      </c>
      <c r="M257" s="561">
        <v>0</v>
      </c>
      <c r="N257" s="249"/>
      <c r="O257" s="250"/>
    </row>
    <row r="258" spans="2:15" ht="33" x14ac:dyDescent="0.25">
      <c r="B258" s="492" t="str">
        <f>'по МК 56'!C7</f>
        <v>Капитальный ремонт автомобильных дорог города Орла на улицах частной жилой застройки: ул. Высокая</v>
      </c>
      <c r="C258" s="479"/>
      <c r="D258" s="465"/>
      <c r="E258" s="480"/>
      <c r="F258" s="490">
        <f t="shared" ref="F258:F328" si="18">G258*4*1000</f>
        <v>4608</v>
      </c>
      <c r="G258" s="557">
        <v>1.1519999999999999</v>
      </c>
      <c r="H258" s="465">
        <f t="shared" si="17"/>
        <v>8175.5357700000004</v>
      </c>
      <c r="I258" s="468">
        <v>0</v>
      </c>
      <c r="J258" s="465">
        <v>4087.7678850000002</v>
      </c>
      <c r="K258" s="465">
        <v>4087.7678850000002</v>
      </c>
      <c r="L258" s="465">
        <v>0</v>
      </c>
      <c r="M258" s="561">
        <v>0</v>
      </c>
      <c r="N258" s="249"/>
      <c r="O258" s="250"/>
    </row>
    <row r="259" spans="2:15" ht="33" x14ac:dyDescent="0.25">
      <c r="B259" s="492" t="str">
        <f>'по МК 56'!C8</f>
        <v>Капитальный ремонт автомобильных дорог города Орла на улицах частной жилой застройки: ул.Радищева</v>
      </c>
      <c r="C259" s="479"/>
      <c r="D259" s="465"/>
      <c r="E259" s="480"/>
      <c r="F259" s="490">
        <f t="shared" si="18"/>
        <v>3720</v>
      </c>
      <c r="G259" s="557">
        <v>0.93</v>
      </c>
      <c r="H259" s="465">
        <f t="shared" si="17"/>
        <v>8246.3617699999995</v>
      </c>
      <c r="I259" s="468">
        <v>0</v>
      </c>
      <c r="J259" s="465">
        <v>4123.1808849999998</v>
      </c>
      <c r="K259" s="465">
        <v>4123.1808849999998</v>
      </c>
      <c r="L259" s="465">
        <v>0</v>
      </c>
      <c r="M259" s="561">
        <v>0</v>
      </c>
      <c r="N259" s="249"/>
      <c r="O259" s="250"/>
    </row>
    <row r="260" spans="2:15" ht="33" x14ac:dyDescent="0.25">
      <c r="B260" s="492" t="str">
        <f>'по МК 56'!C9</f>
        <v>Капитальный ремонт автомобильных дорог города Орла на улицах частной жилой застройки: ул.Волжская</v>
      </c>
      <c r="C260" s="479"/>
      <c r="D260" s="465"/>
      <c r="E260" s="480"/>
      <c r="F260" s="490">
        <f t="shared" si="18"/>
        <v>4400</v>
      </c>
      <c r="G260" s="557">
        <f>'по МК 56'!D9/1000</f>
        <v>1.1000000000000001</v>
      </c>
      <c r="H260" s="465">
        <f t="shared" si="17"/>
        <v>8246.3617699999995</v>
      </c>
      <c r="I260" s="468">
        <v>0</v>
      </c>
      <c r="J260" s="465">
        <v>4123.1808849999998</v>
      </c>
      <c r="K260" s="465">
        <v>4123.1808849999998</v>
      </c>
      <c r="L260" s="465">
        <v>0</v>
      </c>
      <c r="M260" s="561">
        <v>0</v>
      </c>
      <c r="N260" s="249"/>
      <c r="O260" s="250"/>
    </row>
    <row r="261" spans="2:15" ht="33" x14ac:dyDescent="0.25">
      <c r="B261" s="492" t="str">
        <f>'по МК 56'!C10</f>
        <v>Капитальный ремонт автомобильных дорог города Орла на улицах частной жилой застройки: ул.Гвардейская</v>
      </c>
      <c r="C261" s="479"/>
      <c r="D261" s="465"/>
      <c r="E261" s="480"/>
      <c r="F261" s="490">
        <f t="shared" si="18"/>
        <v>5200</v>
      </c>
      <c r="G261" s="557">
        <f>'по МК 56'!D10/1000</f>
        <v>1.3</v>
      </c>
      <c r="H261" s="465">
        <f t="shared" si="17"/>
        <v>11151.770420000001</v>
      </c>
      <c r="I261" s="468">
        <v>0</v>
      </c>
      <c r="J261" s="465">
        <v>5575.8852100000004</v>
      </c>
      <c r="K261" s="465">
        <v>5575.8852100000004</v>
      </c>
      <c r="L261" s="465">
        <v>0</v>
      </c>
      <c r="M261" s="561">
        <v>0</v>
      </c>
      <c r="N261" s="249"/>
      <c r="O261" s="250"/>
    </row>
    <row r="262" spans="2:15" ht="49.5" x14ac:dyDescent="0.25">
      <c r="B262" s="492" t="str">
        <f>'по МК 56'!C11</f>
        <v>Капитальный ремонт автомобильных дорог города Орла на улицах частной жилой застройки: пер.Южный от ул. Тульской до ул. Ольховецкой</v>
      </c>
      <c r="C262" s="479"/>
      <c r="D262" s="465"/>
      <c r="E262" s="480"/>
      <c r="F262" s="490">
        <f t="shared" si="18"/>
        <v>3384</v>
      </c>
      <c r="G262" s="557">
        <v>0.84599999999999997</v>
      </c>
      <c r="H262" s="465">
        <f>SUM(I262:M262)+0.00001</f>
        <v>8577.8546299999998</v>
      </c>
      <c r="I262" s="468">
        <v>0</v>
      </c>
      <c r="J262" s="465">
        <v>4288.9273149999999</v>
      </c>
      <c r="K262" s="465">
        <f>'перечень объектов'!C275</f>
        <v>4288.9273050000002</v>
      </c>
      <c r="L262" s="465">
        <v>0</v>
      </c>
      <c r="M262" s="561">
        <v>0</v>
      </c>
      <c r="N262" s="249"/>
      <c r="O262" s="250">
        <f>SUM(J257:J262)</f>
        <v>26357.536060000002</v>
      </c>
    </row>
    <row r="263" spans="2:15" ht="33" x14ac:dyDescent="0.25">
      <c r="B263" s="492" t="str">
        <f>'по МК 56'!C14</f>
        <v>Капитальный ремонт автомобильных дорог города Орла на улицах частной жилой застройки: ул.Елецкая</v>
      </c>
      <c r="C263" s="479"/>
      <c r="D263" s="465"/>
      <c r="E263" s="480"/>
      <c r="F263" s="490">
        <f t="shared" si="18"/>
        <v>6800</v>
      </c>
      <c r="G263" s="557">
        <v>1.7</v>
      </c>
      <c r="H263" s="465">
        <f t="shared" si="17"/>
        <v>15783.4701</v>
      </c>
      <c r="I263" s="468">
        <v>0</v>
      </c>
      <c r="J263" s="468">
        <v>0</v>
      </c>
      <c r="K263" s="468">
        <f>'по МК 56'!E14/1000</f>
        <v>15783.4701</v>
      </c>
      <c r="L263" s="468">
        <v>0</v>
      </c>
      <c r="M263" s="561">
        <v>0</v>
      </c>
      <c r="N263" s="249"/>
      <c r="O263" s="250">
        <f>O262*0.99/2</f>
        <v>13046.980349700001</v>
      </c>
    </row>
    <row r="264" spans="2:15" ht="33" x14ac:dyDescent="0.25">
      <c r="B264" s="492" t="str">
        <f>'по МК 56'!C15</f>
        <v>Капитальный ремонт автомобильных дорог города Орла на улицах частной жилой застройки: ул.Серпуховская</v>
      </c>
      <c r="C264" s="479"/>
      <c r="D264" s="465"/>
      <c r="E264" s="480"/>
      <c r="F264" s="490">
        <f t="shared" si="18"/>
        <v>7200</v>
      </c>
      <c r="G264" s="557">
        <f>'по МК 56'!D15/1000</f>
        <v>1.8</v>
      </c>
      <c r="H264" s="465">
        <f t="shared" si="17"/>
        <v>14205.123089999997</v>
      </c>
      <c r="I264" s="468">
        <v>0</v>
      </c>
      <c r="J264" s="468">
        <v>0</v>
      </c>
      <c r="K264" s="468">
        <f>'по МК 56'!E15/1000</f>
        <v>14205.123089999997</v>
      </c>
      <c r="L264" s="468">
        <v>0</v>
      </c>
      <c r="M264" s="561">
        <v>0</v>
      </c>
      <c r="N264" s="249"/>
      <c r="O264" s="250"/>
    </row>
    <row r="265" spans="2:15" ht="33" x14ac:dyDescent="0.25">
      <c r="B265" s="492" t="str">
        <f>'по МК 56'!C16</f>
        <v>Капитальный ремонт автомобильных дорог города Орла на улицах частной жилой застройки: пер.Приокский-ул.Отрадная</v>
      </c>
      <c r="C265" s="479"/>
      <c r="D265" s="465"/>
      <c r="E265" s="480"/>
      <c r="F265" s="490">
        <f t="shared" si="18"/>
        <v>2836</v>
      </c>
      <c r="G265" s="557">
        <v>0.70899999999999996</v>
      </c>
      <c r="H265" s="465">
        <f t="shared" si="17"/>
        <v>5800.4252617499997</v>
      </c>
      <c r="I265" s="468">
        <v>0</v>
      </c>
      <c r="J265" s="468">
        <v>0</v>
      </c>
      <c r="K265" s="468">
        <f>'по МК 56'!E16/1000</f>
        <v>5800.4252617499997</v>
      </c>
      <c r="L265" s="468">
        <v>0</v>
      </c>
      <c r="M265" s="561">
        <v>0</v>
      </c>
      <c r="N265" s="249"/>
      <c r="O265" s="250"/>
    </row>
    <row r="266" spans="2:15" ht="33" x14ac:dyDescent="0.25">
      <c r="B266" s="492" t="str">
        <f>'по МК 56'!C17</f>
        <v>Капитальный ремонт автомобильных дорог города Орла на улицах частной жилой застройки: ул.Приокская</v>
      </c>
      <c r="C266" s="479"/>
      <c r="D266" s="465"/>
      <c r="E266" s="480"/>
      <c r="F266" s="490">
        <f t="shared" si="18"/>
        <v>1336</v>
      </c>
      <c r="G266" s="557">
        <f>'по МК 56'!D17/1000</f>
        <v>0.33400000000000002</v>
      </c>
      <c r="H266" s="465">
        <f t="shared" si="17"/>
        <v>2635.8395066999997</v>
      </c>
      <c r="I266" s="468">
        <v>0</v>
      </c>
      <c r="J266" s="468">
        <v>0</v>
      </c>
      <c r="K266" s="468">
        <f>'по МК 56'!E17/1000</f>
        <v>2635.8395066999997</v>
      </c>
      <c r="L266" s="468">
        <v>0</v>
      </c>
      <c r="M266" s="561">
        <v>0</v>
      </c>
      <c r="N266" s="249"/>
      <c r="O266" s="250"/>
    </row>
    <row r="267" spans="2:15" ht="33" x14ac:dyDescent="0.25">
      <c r="B267" s="492" t="str">
        <f>'по МК 56'!C18</f>
        <v>Капитальный ремонт автомобильных дорог города Орла на улицах частной жилой застройки: ул.Скульптурная</v>
      </c>
      <c r="C267" s="479"/>
      <c r="D267" s="465"/>
      <c r="E267" s="480"/>
      <c r="F267" s="490">
        <f t="shared" si="18"/>
        <v>4400</v>
      </c>
      <c r="G267" s="557">
        <f>'по МК 56'!D18/1000</f>
        <v>1.1000000000000001</v>
      </c>
      <c r="H267" s="465">
        <f t="shared" si="17"/>
        <v>8680.908555</v>
      </c>
      <c r="I267" s="468">
        <v>0</v>
      </c>
      <c r="J267" s="468">
        <v>0</v>
      </c>
      <c r="K267" s="468">
        <f>'по МК 56'!E18/1000</f>
        <v>8680.908555</v>
      </c>
      <c r="L267" s="468">
        <v>0</v>
      </c>
      <c r="M267" s="561">
        <v>0</v>
      </c>
      <c r="N267" s="249"/>
      <c r="O267" s="250"/>
    </row>
    <row r="268" spans="2:15" ht="33" x14ac:dyDescent="0.25">
      <c r="B268" s="492" t="str">
        <f>'по МК 56'!C19</f>
        <v>Капитальный ремонт автомобильных дорог города Орла на улицах частной жилой застройки: ул.Менделеева</v>
      </c>
      <c r="C268" s="479"/>
      <c r="D268" s="465"/>
      <c r="E268" s="480"/>
      <c r="F268" s="490">
        <f t="shared" si="18"/>
        <v>3592</v>
      </c>
      <c r="G268" s="557">
        <f>'по МК 56'!D19/1000</f>
        <v>0.89800000000000002</v>
      </c>
      <c r="H268" s="465">
        <f t="shared" si="17"/>
        <v>7086.7780749000003</v>
      </c>
      <c r="I268" s="468">
        <v>0</v>
      </c>
      <c r="J268" s="468">
        <v>0</v>
      </c>
      <c r="K268" s="468">
        <f>'по МК 56'!E19/1000</f>
        <v>7086.7780749000003</v>
      </c>
      <c r="L268" s="468">
        <v>0</v>
      </c>
      <c r="M268" s="561">
        <v>0</v>
      </c>
      <c r="N268" s="249"/>
      <c r="O268" s="250"/>
    </row>
    <row r="269" spans="2:15" ht="33" x14ac:dyDescent="0.25">
      <c r="B269" s="492" t="str">
        <f>'по МК 56'!C20</f>
        <v>Капитальный ремонт автомобильных дорог города Орла на улицах частной жилой застройки: ул.Яблочная</v>
      </c>
      <c r="C269" s="479"/>
      <c r="D269" s="465"/>
      <c r="E269" s="480"/>
      <c r="F269" s="490">
        <f t="shared" si="18"/>
        <v>4000</v>
      </c>
      <c r="G269" s="557">
        <v>1</v>
      </c>
      <c r="H269" s="465">
        <f t="shared" si="17"/>
        <v>12626.77608</v>
      </c>
      <c r="I269" s="468">
        <v>0</v>
      </c>
      <c r="J269" s="468">
        <v>0</v>
      </c>
      <c r="K269" s="468">
        <f>'по МК 56'!E20/1000</f>
        <v>12626.77608</v>
      </c>
      <c r="L269" s="468">
        <v>0</v>
      </c>
      <c r="M269" s="561">
        <v>0</v>
      </c>
      <c r="N269" s="249"/>
      <c r="O269" s="250"/>
    </row>
    <row r="270" spans="2:15" ht="33" x14ac:dyDescent="0.25">
      <c r="B270" s="492" t="str">
        <f>'по МК 56'!C21</f>
        <v>Капитальный ремонт автомобильных дорог города Орла на улицах частной жилой застройки: пер.Половецкий</v>
      </c>
      <c r="C270" s="479"/>
      <c r="D270" s="465"/>
      <c r="E270" s="480"/>
      <c r="F270" s="490">
        <f t="shared" si="18"/>
        <v>4800</v>
      </c>
      <c r="G270" s="557">
        <f>'по МК 56'!D21/1000</f>
        <v>1.2</v>
      </c>
      <c r="H270" s="465">
        <f t="shared" si="17"/>
        <v>9470.0820600000006</v>
      </c>
      <c r="I270" s="468">
        <v>0</v>
      </c>
      <c r="J270" s="468">
        <v>0</v>
      </c>
      <c r="K270" s="468">
        <f>'по МК 56'!E21/1000</f>
        <v>9470.0820600000006</v>
      </c>
      <c r="L270" s="468">
        <v>0</v>
      </c>
      <c r="M270" s="561">
        <v>0</v>
      </c>
      <c r="N270" s="249"/>
      <c r="O270" s="250"/>
    </row>
    <row r="271" spans="2:15" ht="33" x14ac:dyDescent="0.25">
      <c r="B271" s="492" t="str">
        <f>'по МК 56'!C22</f>
        <v>Капитальный ремонт автомобильных дорог города Орла на улицах частной жилой застройки: ул. Полигонная</v>
      </c>
      <c r="C271" s="479"/>
      <c r="D271" s="465"/>
      <c r="E271" s="480"/>
      <c r="F271" s="490">
        <f t="shared" si="18"/>
        <v>1652</v>
      </c>
      <c r="G271" s="557">
        <f>'по МК 56'!D22/1000</f>
        <v>0.41299999999999998</v>
      </c>
      <c r="H271" s="465">
        <f t="shared" si="17"/>
        <v>3259.28657565</v>
      </c>
      <c r="I271" s="468">
        <v>0</v>
      </c>
      <c r="J271" s="468">
        <v>0</v>
      </c>
      <c r="K271" s="468">
        <f>'по МК 56'!E22/1000</f>
        <v>3259.28657565</v>
      </c>
      <c r="L271" s="468">
        <v>0</v>
      </c>
      <c r="M271" s="561">
        <v>0</v>
      </c>
      <c r="N271" s="249"/>
      <c r="O271" s="250"/>
    </row>
    <row r="272" spans="2:15" ht="33" x14ac:dyDescent="0.25">
      <c r="B272" s="492" t="str">
        <f>'по МК 56'!C23</f>
        <v>Капитальный ремонт автомобильных дорог города Орла на улицах частной жилой застройки: ул. Ново-Лужковская</v>
      </c>
      <c r="C272" s="479"/>
      <c r="D272" s="465"/>
      <c r="E272" s="480"/>
      <c r="F272" s="490">
        <f t="shared" si="18"/>
        <v>1960</v>
      </c>
      <c r="G272" s="557">
        <v>0.49</v>
      </c>
      <c r="H272" s="465">
        <f t="shared" si="17"/>
        <v>3874.8419095499994</v>
      </c>
      <c r="I272" s="468">
        <v>0</v>
      </c>
      <c r="J272" s="468">
        <v>0</v>
      </c>
      <c r="K272" s="468">
        <f>'по МК 56'!E23/1000</f>
        <v>3874.8419095499994</v>
      </c>
      <c r="L272" s="468">
        <v>0</v>
      </c>
      <c r="M272" s="561">
        <v>0</v>
      </c>
      <c r="N272" s="249"/>
      <c r="O272" s="250"/>
    </row>
    <row r="273" spans="2:15" ht="33" x14ac:dyDescent="0.25">
      <c r="B273" s="492" t="str">
        <f>'по МК 56'!C24</f>
        <v xml:space="preserve">Капитальный ремонт автомобильных дорог города Орла на улицах частной жилой застройки: ул. Магазинная </v>
      </c>
      <c r="C273" s="479"/>
      <c r="D273" s="465"/>
      <c r="E273" s="480"/>
      <c r="F273" s="490">
        <f t="shared" si="18"/>
        <v>2787.6</v>
      </c>
      <c r="G273" s="557">
        <v>0.69689999999999996</v>
      </c>
      <c r="H273" s="465">
        <f t="shared" si="17"/>
        <v>5682.0492400000003</v>
      </c>
      <c r="I273" s="468">
        <v>0</v>
      </c>
      <c r="J273" s="468">
        <v>0</v>
      </c>
      <c r="K273" s="468">
        <f>'перечень объектов'!C286</f>
        <v>5682.0492400000003</v>
      </c>
      <c r="L273" s="468">
        <v>0</v>
      </c>
      <c r="M273" s="561">
        <v>0</v>
      </c>
      <c r="N273" s="249"/>
      <c r="O273" s="250"/>
    </row>
    <row r="274" spans="2:15" ht="33" x14ac:dyDescent="0.25">
      <c r="B274" s="492" t="str">
        <f>'по МК 56'!C25</f>
        <v>Капитальный ремонт автомобильных дорог города Орла на улицах частной жилой застройки: ул.Турбина</v>
      </c>
      <c r="C274" s="479"/>
      <c r="D274" s="465"/>
      <c r="E274" s="480"/>
      <c r="F274" s="490">
        <f t="shared" si="18"/>
        <v>920</v>
      </c>
      <c r="G274" s="557">
        <v>0.23</v>
      </c>
      <c r="H274" s="465">
        <f t="shared" si="17"/>
        <v>2769.9990025499997</v>
      </c>
      <c r="I274" s="468">
        <v>0</v>
      </c>
      <c r="J274" s="468">
        <v>0</v>
      </c>
      <c r="K274" s="468">
        <f>'по МК 56'!E25/1000</f>
        <v>2769.9990025499997</v>
      </c>
      <c r="L274" s="468">
        <v>0</v>
      </c>
      <c r="M274" s="561">
        <v>0</v>
      </c>
      <c r="N274" s="249"/>
      <c r="O274" s="250"/>
    </row>
    <row r="275" spans="2:15" ht="33" x14ac:dyDescent="0.25">
      <c r="B275" s="492" t="str">
        <f>'по МК 56'!C26</f>
        <v>Капитальный ремонт автомобильных дорог города Орла на улицах частной жилой застройки: ул.Кривцова</v>
      </c>
      <c r="C275" s="479"/>
      <c r="D275" s="465"/>
      <c r="E275" s="480"/>
      <c r="F275" s="490">
        <f t="shared" si="18"/>
        <v>920</v>
      </c>
      <c r="G275" s="557">
        <v>0.23</v>
      </c>
      <c r="H275" s="465">
        <f t="shared" si="17"/>
        <v>3551.2807724999993</v>
      </c>
      <c r="I275" s="468">
        <v>0</v>
      </c>
      <c r="J275" s="468">
        <v>0</v>
      </c>
      <c r="K275" s="468">
        <f>'по МК 56'!E26/1000</f>
        <v>3551.2807724999993</v>
      </c>
      <c r="L275" s="468">
        <v>0</v>
      </c>
      <c r="M275" s="561">
        <v>0</v>
      </c>
      <c r="N275" s="249"/>
      <c r="O275" s="250"/>
    </row>
    <row r="276" spans="2:15" ht="33" x14ac:dyDescent="0.25">
      <c r="B276" s="492" t="str">
        <f>'по МК 56'!C27</f>
        <v>Капитальный ремонт автомобильных дорог города Орла на улицах частной жилой застройки: пер.Городской</v>
      </c>
      <c r="C276" s="479"/>
      <c r="D276" s="465"/>
      <c r="E276" s="480"/>
      <c r="F276" s="490">
        <f t="shared" si="18"/>
        <v>2312</v>
      </c>
      <c r="G276" s="557">
        <f>'по МК 56'!D27/1000</f>
        <v>0.57799999999999996</v>
      </c>
      <c r="H276" s="465">
        <f t="shared" si="17"/>
        <v>4561.4228588999995</v>
      </c>
      <c r="I276" s="468">
        <v>0</v>
      </c>
      <c r="J276" s="468">
        <v>0</v>
      </c>
      <c r="K276" s="468">
        <f>'по МК 56'!E27/1000</f>
        <v>4561.4228588999995</v>
      </c>
      <c r="L276" s="468">
        <v>0</v>
      </c>
      <c r="M276" s="561">
        <v>0</v>
      </c>
      <c r="N276" s="249"/>
      <c r="O276" s="250"/>
    </row>
    <row r="277" spans="2:15" ht="33" x14ac:dyDescent="0.25">
      <c r="B277" s="492" t="str">
        <f>'по МК 56'!C28</f>
        <v>Капитальный ремонт автомобильных дорог города Орла на улицах частной жилой застройки: ул.Линейная</v>
      </c>
      <c r="C277" s="479"/>
      <c r="D277" s="465"/>
      <c r="E277" s="480"/>
      <c r="F277" s="490">
        <f t="shared" si="18"/>
        <v>1920</v>
      </c>
      <c r="G277" s="557">
        <v>0.48</v>
      </c>
      <c r="H277" s="465">
        <f t="shared" si="17"/>
        <v>7165.6954254000002</v>
      </c>
      <c r="I277" s="468">
        <v>0</v>
      </c>
      <c r="J277" s="468">
        <v>0</v>
      </c>
      <c r="K277" s="468">
        <f>'по МК 56'!E28/1000</f>
        <v>7165.6954254000002</v>
      </c>
      <c r="L277" s="468">
        <v>0</v>
      </c>
      <c r="M277" s="561">
        <v>0</v>
      </c>
      <c r="N277" s="249"/>
      <c r="O277" s="250"/>
    </row>
    <row r="278" spans="2:15" ht="33" x14ac:dyDescent="0.25">
      <c r="B278" s="492" t="str">
        <f>'по МК 56'!C29</f>
        <v>Капитальный ремонт автомобильных дорог города Орла на улицах частной жилой застройки: ул.Степная</v>
      </c>
      <c r="C278" s="479"/>
      <c r="D278" s="465"/>
      <c r="E278" s="480"/>
      <c r="F278" s="490">
        <f t="shared" si="18"/>
        <v>3720</v>
      </c>
      <c r="G278" s="557">
        <v>0.93</v>
      </c>
      <c r="H278" s="465">
        <f t="shared" si="17"/>
        <v>7544.4981699999998</v>
      </c>
      <c r="I278" s="468">
        <v>0</v>
      </c>
      <c r="J278" s="468">
        <v>0</v>
      </c>
      <c r="K278" s="468">
        <f>'перечень объектов'!C291</f>
        <v>7544.4981699999998</v>
      </c>
      <c r="L278" s="468">
        <v>0</v>
      </c>
      <c r="M278" s="561">
        <v>0</v>
      </c>
      <c r="N278" s="249"/>
      <c r="O278" s="250"/>
    </row>
    <row r="279" spans="2:15" ht="49.5" x14ac:dyDescent="0.25">
      <c r="B279" s="492" t="str">
        <f>'по МК 56'!C30</f>
        <v>Капитальный ремонт автомобильных дорог города Орла на улицах частной жилой застройки: ул.Лужковская от ул. Поселковая до ул. Афонина</v>
      </c>
      <c r="C279" s="479"/>
      <c r="D279" s="465"/>
      <c r="E279" s="480"/>
      <c r="F279" s="490">
        <f t="shared" si="18"/>
        <v>2268</v>
      </c>
      <c r="G279" s="557">
        <f>'по МК 56'!D30/1000</f>
        <v>0.56699999999999995</v>
      </c>
      <c r="H279" s="465">
        <f t="shared" si="17"/>
        <v>4474.6138033500001</v>
      </c>
      <c r="I279" s="468">
        <v>0</v>
      </c>
      <c r="J279" s="468">
        <v>0</v>
      </c>
      <c r="K279" s="468">
        <f>'по МК 56'!E30/1000</f>
        <v>4474.6138033500001</v>
      </c>
      <c r="L279" s="468">
        <v>0</v>
      </c>
      <c r="M279" s="561">
        <v>0</v>
      </c>
      <c r="N279" s="249"/>
      <c r="O279" s="250"/>
    </row>
    <row r="280" spans="2:15" ht="33" x14ac:dyDescent="0.25">
      <c r="B280" s="492" t="str">
        <f>'по МК 56'!C31</f>
        <v xml:space="preserve">Капитальный ремонт автомобильных дорог города Орла на улицах частной жилой застройки: ул.Уральская </v>
      </c>
      <c r="C280" s="479"/>
      <c r="D280" s="465"/>
      <c r="E280" s="480"/>
      <c r="F280" s="490">
        <f t="shared" si="18"/>
        <v>800</v>
      </c>
      <c r="G280" s="557">
        <v>0.2</v>
      </c>
      <c r="H280" s="465">
        <f t="shared" si="17"/>
        <v>2643.7312417500002</v>
      </c>
      <c r="I280" s="468">
        <v>0</v>
      </c>
      <c r="J280" s="468">
        <v>0</v>
      </c>
      <c r="K280" s="468">
        <f>'по МК 56'!E31/1000</f>
        <v>2643.7312417500002</v>
      </c>
      <c r="L280" s="468">
        <v>0</v>
      </c>
      <c r="M280" s="561">
        <v>0</v>
      </c>
      <c r="N280" s="249"/>
      <c r="O280" s="250"/>
    </row>
    <row r="281" spans="2:15" ht="33" x14ac:dyDescent="0.25">
      <c r="B281" s="492" t="str">
        <f>'по МК 56'!C32</f>
        <v>Капитальный ремонт автомобильных дорог города Орла на улицах частной жилой застройки: ул.Мичурина</v>
      </c>
      <c r="C281" s="479"/>
      <c r="D281" s="465"/>
      <c r="E281" s="480"/>
      <c r="F281" s="490">
        <f t="shared" si="18"/>
        <v>5200</v>
      </c>
      <c r="G281" s="557">
        <f>'по МК 56'!D32/1000</f>
        <v>1.3</v>
      </c>
      <c r="H281" s="465">
        <f t="shared" si="17"/>
        <v>10259.265565</v>
      </c>
      <c r="I281" s="468">
        <v>0</v>
      </c>
      <c r="J281" s="468">
        <v>0</v>
      </c>
      <c r="K281" s="468">
        <f>'по МК 56'!E32/1000+0.01</f>
        <v>10259.265565</v>
      </c>
      <c r="L281" s="468">
        <v>0</v>
      </c>
      <c r="M281" s="561">
        <v>0</v>
      </c>
      <c r="N281" s="249"/>
      <c r="O281" s="250"/>
    </row>
    <row r="282" spans="2:15" ht="33" x14ac:dyDescent="0.25">
      <c r="B282" s="492" t="str">
        <f>'по МК 56'!C33</f>
        <v>Капитальный ремонт автомобильных дорог города Орла на улицах частной жилой застройки: ул. Смоленская</v>
      </c>
      <c r="C282" s="479"/>
      <c r="D282" s="465"/>
      <c r="E282" s="480"/>
      <c r="F282" s="490">
        <f t="shared" si="18"/>
        <v>2572</v>
      </c>
      <c r="G282" s="557">
        <f>'по МК 56'!D33/1000</f>
        <v>0.64300000000000002</v>
      </c>
      <c r="H282" s="465">
        <f t="shared" si="17"/>
        <v>5074.3856371499996</v>
      </c>
      <c r="I282" s="468">
        <v>0</v>
      </c>
      <c r="J282" s="468">
        <v>0</v>
      </c>
      <c r="K282" s="468">
        <f>'по МК 56'!E33/1000</f>
        <v>5074.3856371499996</v>
      </c>
      <c r="L282" s="468">
        <v>0</v>
      </c>
      <c r="M282" s="561">
        <v>0</v>
      </c>
      <c r="N282" s="249"/>
      <c r="O282" s="250"/>
    </row>
    <row r="283" spans="2:15" ht="49.5" x14ac:dyDescent="0.25">
      <c r="B283" s="492" t="str">
        <f>'по МК 56'!C34</f>
        <v>Капитальный ремонт автомобильных дорог города Орла на улицах частной жилой застройки: ул. 3 Курская от ул. Магазинной до дома 94</v>
      </c>
      <c r="C283" s="479"/>
      <c r="D283" s="465"/>
      <c r="E283" s="480"/>
      <c r="F283" s="490">
        <f t="shared" si="18"/>
        <v>592</v>
      </c>
      <c r="G283" s="557">
        <f>'по МК 56'!D34/1000</f>
        <v>0.14799999999999999</v>
      </c>
      <c r="H283" s="465">
        <f t="shared" si="17"/>
        <v>1167.9767873999999</v>
      </c>
      <c r="I283" s="468">
        <v>0</v>
      </c>
      <c r="J283" s="468">
        <v>0</v>
      </c>
      <c r="K283" s="468">
        <f>'по МК 56'!E34/1000</f>
        <v>1167.9767873999999</v>
      </c>
      <c r="L283" s="468">
        <v>0</v>
      </c>
      <c r="M283" s="561">
        <v>0</v>
      </c>
      <c r="N283" s="249"/>
      <c r="O283" s="250"/>
    </row>
    <row r="284" spans="2:15" ht="33" x14ac:dyDescent="0.25">
      <c r="B284" s="492" t="str">
        <f>'по МК 56'!C35</f>
        <v>Капитальный ремонт автомобильных дорог города Орла на улицах частной жилой застройки: ул. Дружбы</v>
      </c>
      <c r="C284" s="479"/>
      <c r="D284" s="465"/>
      <c r="E284" s="480"/>
      <c r="F284" s="490">
        <f t="shared" si="18"/>
        <v>2176</v>
      </c>
      <c r="G284" s="557">
        <f>'по МК 56'!D35/1000</f>
        <v>0.54400000000000004</v>
      </c>
      <c r="H284" s="465">
        <f t="shared" si="17"/>
        <v>4293.1038671999995</v>
      </c>
      <c r="I284" s="468">
        <v>0</v>
      </c>
      <c r="J284" s="468">
        <v>0</v>
      </c>
      <c r="K284" s="468">
        <f>'по МК 56'!E35/1000</f>
        <v>4293.1038671999995</v>
      </c>
      <c r="L284" s="468">
        <v>0</v>
      </c>
      <c r="M284" s="561">
        <v>0</v>
      </c>
      <c r="N284" s="249"/>
      <c r="O284" s="250"/>
    </row>
    <row r="285" spans="2:15" ht="33" x14ac:dyDescent="0.25">
      <c r="B285" s="492" t="str">
        <f>'по МК 56'!C36</f>
        <v>Капитальный ремонт автомобильных дорог города Орла на улицах частной жилой застройки: пер. Ковыльный</v>
      </c>
      <c r="C285" s="479"/>
      <c r="D285" s="465"/>
      <c r="E285" s="480"/>
      <c r="F285" s="490">
        <f t="shared" si="18"/>
        <v>1772</v>
      </c>
      <c r="G285" s="557">
        <f>'по МК 56'!D36/1000</f>
        <v>0.443</v>
      </c>
      <c r="H285" s="465">
        <f t="shared" si="17"/>
        <v>3496.0386271500001</v>
      </c>
      <c r="I285" s="468">
        <v>0</v>
      </c>
      <c r="J285" s="468">
        <v>0</v>
      </c>
      <c r="K285" s="468">
        <f>'по МК 56'!E36/1000</f>
        <v>3496.0386271500001</v>
      </c>
      <c r="L285" s="468">
        <v>0</v>
      </c>
      <c r="M285" s="561">
        <v>0</v>
      </c>
      <c r="N285" s="249"/>
      <c r="O285" s="250"/>
    </row>
    <row r="286" spans="2:15" ht="33" x14ac:dyDescent="0.25">
      <c r="B286" s="492" t="str">
        <f>'по МК 56'!C37</f>
        <v>Капитальный ремонт автомобильных дорог города Орла на улицах частной жилой застройки: пер. Лужковский</v>
      </c>
      <c r="C286" s="479"/>
      <c r="D286" s="465"/>
      <c r="E286" s="480"/>
      <c r="F286" s="490">
        <f t="shared" si="18"/>
        <v>2320</v>
      </c>
      <c r="G286" s="557">
        <v>0.57999999999999996</v>
      </c>
      <c r="H286" s="465">
        <f t="shared" si="17"/>
        <v>5634.6988257000003</v>
      </c>
      <c r="I286" s="468">
        <v>0</v>
      </c>
      <c r="J286" s="468">
        <v>0</v>
      </c>
      <c r="K286" s="468">
        <f>'по МК 56'!E37/1000</f>
        <v>5634.6988257000003</v>
      </c>
      <c r="L286" s="468">
        <v>0</v>
      </c>
      <c r="M286" s="561">
        <v>0</v>
      </c>
      <c r="N286" s="249"/>
      <c r="O286" s="250"/>
    </row>
    <row r="287" spans="2:15" ht="33" x14ac:dyDescent="0.25">
      <c r="B287" s="492" t="str">
        <f>'по МК 56'!C38</f>
        <v>Капитальный ремонт автомобильных дорог города Орла на улицах частной жилой застройки: пер. Менделеева</v>
      </c>
      <c r="C287" s="479"/>
      <c r="D287" s="465"/>
      <c r="E287" s="480"/>
      <c r="F287" s="490">
        <f t="shared" si="18"/>
        <v>568</v>
      </c>
      <c r="G287" s="557">
        <f>'по МК 56'!D38/1000</f>
        <v>0.14199999999999999</v>
      </c>
      <c r="H287" s="465">
        <f t="shared" si="17"/>
        <v>1120.6263270999998</v>
      </c>
      <c r="I287" s="468">
        <v>0</v>
      </c>
      <c r="J287" s="468">
        <v>0</v>
      </c>
      <c r="K287" s="468">
        <f>'по МК 56'!E38/1000</f>
        <v>1120.6263270999998</v>
      </c>
      <c r="L287" s="468">
        <v>0</v>
      </c>
      <c r="M287" s="561">
        <v>0</v>
      </c>
      <c r="N287" s="249"/>
      <c r="O287" s="250"/>
    </row>
    <row r="288" spans="2:15" ht="33" x14ac:dyDescent="0.25">
      <c r="B288" s="492" t="str">
        <f>'по МК 56'!C39</f>
        <v>Капитальный ремонт автомобильных дорог города Орла на улицах частной жилой застройки: пер. Еловый</v>
      </c>
      <c r="C288" s="479"/>
      <c r="D288" s="465"/>
      <c r="E288" s="480"/>
      <c r="F288" s="490">
        <f t="shared" si="18"/>
        <v>640</v>
      </c>
      <c r="G288" s="557">
        <f>'по МК 56'!D39/1000</f>
        <v>0.16</v>
      </c>
      <c r="H288" s="465">
        <f t="shared" si="17"/>
        <v>1262.6776079999997</v>
      </c>
      <c r="I288" s="468">
        <v>0</v>
      </c>
      <c r="J288" s="468">
        <v>0</v>
      </c>
      <c r="K288" s="468">
        <f>'по МК 56'!E39/1000</f>
        <v>1262.6776079999997</v>
      </c>
      <c r="L288" s="468">
        <v>0</v>
      </c>
      <c r="M288" s="561">
        <v>0</v>
      </c>
      <c r="N288" s="249"/>
      <c r="O288" s="250"/>
    </row>
    <row r="289" spans="2:15" ht="33" x14ac:dyDescent="0.25">
      <c r="B289" s="492" t="str">
        <f>'по МК 56'!C40</f>
        <v>Капитальный ремонт автомобильных дорог города Орла на улицах частной жилой застройки: ул. Светлая</v>
      </c>
      <c r="C289" s="479"/>
      <c r="D289" s="465"/>
      <c r="E289" s="480"/>
      <c r="F289" s="490">
        <f t="shared" si="18"/>
        <v>1868</v>
      </c>
      <c r="G289" s="557">
        <f>'по МК 56'!D40/1000</f>
        <v>0.46700000000000003</v>
      </c>
      <c r="H289" s="465">
        <f t="shared" si="17"/>
        <v>3685.4402683500002</v>
      </c>
      <c r="I289" s="468">
        <v>0</v>
      </c>
      <c r="J289" s="468">
        <v>0</v>
      </c>
      <c r="K289" s="468">
        <f>'по МК 56'!E40/1000</f>
        <v>3685.4402683500002</v>
      </c>
      <c r="L289" s="468">
        <v>0</v>
      </c>
      <c r="M289" s="561">
        <v>0</v>
      </c>
      <c r="N289" s="249"/>
      <c r="O289" s="250"/>
    </row>
    <row r="290" spans="2:15" ht="33" x14ac:dyDescent="0.25">
      <c r="B290" s="492" t="str">
        <f>'по МК 56'!C41</f>
        <v>Капитальный ремонт автомобильных дорог города Орла на улицах частной жилой застройки: пер. Грибной</v>
      </c>
      <c r="C290" s="479"/>
      <c r="D290" s="465"/>
      <c r="E290" s="480"/>
      <c r="F290" s="490">
        <f t="shared" si="18"/>
        <v>312</v>
      </c>
      <c r="G290" s="557">
        <v>7.8E-2</v>
      </c>
      <c r="H290" s="465">
        <f t="shared" si="17"/>
        <v>1467.8627192999998</v>
      </c>
      <c r="I290" s="468">
        <v>0</v>
      </c>
      <c r="J290" s="468">
        <v>0</v>
      </c>
      <c r="K290" s="468">
        <f>'по МК 56'!E41/1000</f>
        <v>1467.8627192999998</v>
      </c>
      <c r="L290" s="468">
        <v>0</v>
      </c>
      <c r="M290" s="561">
        <v>0</v>
      </c>
      <c r="N290" s="249"/>
      <c r="O290" s="250"/>
    </row>
    <row r="291" spans="2:15" ht="49.5" x14ac:dyDescent="0.25">
      <c r="B291" s="492" t="str">
        <f>'по МК 56'!C42</f>
        <v>Капитальный ремонт автомобильных дорог города Орла на улицах частной жилой застройки: ул. 6 Орловской дивизии (на участке от ул. Афонина до ул. Поселковая)</v>
      </c>
      <c r="C291" s="479"/>
      <c r="D291" s="465"/>
      <c r="E291" s="480"/>
      <c r="F291" s="490">
        <f t="shared" si="18"/>
        <v>1792</v>
      </c>
      <c r="G291" s="557">
        <f>'по МК 56'!D42/1000</f>
        <v>0.44800000000000001</v>
      </c>
      <c r="H291" s="465">
        <f t="shared" si="17"/>
        <v>3535.4973024000001</v>
      </c>
      <c r="I291" s="468">
        <v>0</v>
      </c>
      <c r="J291" s="468">
        <v>0</v>
      </c>
      <c r="K291" s="468">
        <f>'по МК 56'!E42/1000</f>
        <v>3535.4973024000001</v>
      </c>
      <c r="L291" s="468">
        <v>0</v>
      </c>
      <c r="M291" s="561">
        <v>0</v>
      </c>
      <c r="N291" s="249"/>
      <c r="O291" s="250"/>
    </row>
    <row r="292" spans="2:15" ht="33" x14ac:dyDescent="0.25">
      <c r="B292" s="492" t="str">
        <f>'по МК 56'!C43</f>
        <v>Капитальный ремонт автомобильных дорог города Орла на улицах частной жилой застройки: ул. Заречная</v>
      </c>
      <c r="C292" s="479"/>
      <c r="D292" s="465"/>
      <c r="E292" s="480"/>
      <c r="F292" s="490">
        <f t="shared" si="18"/>
        <v>3644</v>
      </c>
      <c r="G292" s="557">
        <f>'по МК 56'!D43/1000</f>
        <v>0.91100000000000003</v>
      </c>
      <c r="H292" s="465">
        <f t="shared" si="17"/>
        <v>7189.37063055</v>
      </c>
      <c r="I292" s="468">
        <v>0</v>
      </c>
      <c r="J292" s="468">
        <v>0</v>
      </c>
      <c r="K292" s="468">
        <f>'по МК 56'!E43/1000</f>
        <v>7189.37063055</v>
      </c>
      <c r="L292" s="468">
        <v>0</v>
      </c>
      <c r="M292" s="561">
        <v>0</v>
      </c>
      <c r="N292" s="249"/>
      <c r="O292" s="250"/>
    </row>
    <row r="293" spans="2:15" ht="33" x14ac:dyDescent="0.25">
      <c r="B293" s="492" t="str">
        <f>'по МК 56'!C44</f>
        <v>Капитальный ремонт автомобильных дорог города Орла на улицах частной жилой застройки: ул. Тимирязева</v>
      </c>
      <c r="C293" s="479"/>
      <c r="D293" s="465"/>
      <c r="E293" s="480"/>
      <c r="F293" s="490">
        <f t="shared" si="18"/>
        <v>3800</v>
      </c>
      <c r="G293" s="557">
        <v>0.95</v>
      </c>
      <c r="H293" s="465">
        <f t="shared" si="17"/>
        <v>7670.7664385999997</v>
      </c>
      <c r="I293" s="468">
        <v>0</v>
      </c>
      <c r="J293" s="468">
        <v>0</v>
      </c>
      <c r="K293" s="468">
        <f>'по МК 56'!E44/1000-0.00001</f>
        <v>7670.7664385999997</v>
      </c>
      <c r="L293" s="468">
        <v>0</v>
      </c>
      <c r="M293" s="561">
        <v>0</v>
      </c>
      <c r="N293" s="249"/>
      <c r="O293" s="250"/>
    </row>
    <row r="294" spans="2:15" ht="33" x14ac:dyDescent="0.25">
      <c r="B294" s="492" t="str">
        <f>'по МК 56'!C45</f>
        <v>Капитальный ремонт автомобильных дорог города Орла на улицах частной жилой застройки: ул. Афонина</v>
      </c>
      <c r="C294" s="479"/>
      <c r="D294" s="465"/>
      <c r="E294" s="480"/>
      <c r="F294" s="490">
        <f t="shared" si="18"/>
        <v>2572</v>
      </c>
      <c r="G294" s="557">
        <f>'по МК 56'!D45/1000</f>
        <v>0.64300000000000002</v>
      </c>
      <c r="H294" s="465">
        <f t="shared" si="17"/>
        <v>5074.3856371499996</v>
      </c>
      <c r="I294" s="468">
        <v>0</v>
      </c>
      <c r="J294" s="468">
        <v>0</v>
      </c>
      <c r="K294" s="468">
        <f>'по МК 56'!E45/1000</f>
        <v>5074.3856371499996</v>
      </c>
      <c r="L294" s="468">
        <v>0</v>
      </c>
      <c r="M294" s="561">
        <v>0</v>
      </c>
      <c r="N294" s="249"/>
      <c r="O294" s="250"/>
    </row>
    <row r="295" spans="2:15" ht="33" x14ac:dyDescent="0.25">
      <c r="B295" s="492" t="str">
        <f>'по МК 56'!C46</f>
        <v>Капитальный ремонт автомобильных дорог города Орла на улицах частной жилой застройки: пер. Пойменный</v>
      </c>
      <c r="C295" s="479"/>
      <c r="D295" s="465"/>
      <c r="E295" s="480"/>
      <c r="F295" s="490">
        <f t="shared" si="18"/>
        <v>1396</v>
      </c>
      <c r="G295" s="557">
        <f>'по МК 56'!D46/1000</f>
        <v>0.34899999999999998</v>
      </c>
      <c r="H295" s="465">
        <f t="shared" si="17"/>
        <v>2754.2155624500001</v>
      </c>
      <c r="I295" s="468">
        <v>0</v>
      </c>
      <c r="J295" s="468">
        <v>0</v>
      </c>
      <c r="K295" s="468">
        <f>'по МК 56'!E46/1000+0.00001</f>
        <v>2754.2155624500001</v>
      </c>
      <c r="L295" s="468">
        <v>0</v>
      </c>
      <c r="M295" s="561">
        <v>0</v>
      </c>
      <c r="N295" s="249"/>
      <c r="O295" s="250"/>
    </row>
    <row r="296" spans="2:15" ht="33" x14ac:dyDescent="0.25">
      <c r="B296" s="492" t="str">
        <f>'по МК 56'!C47</f>
        <v>Капитальный ремонт автомобильных дорог города Орла на улицах частной жилой застройки: пер. Отрадный</v>
      </c>
      <c r="C296" s="479"/>
      <c r="D296" s="465"/>
      <c r="E296" s="480"/>
      <c r="F296" s="490">
        <f t="shared" si="18"/>
        <v>604</v>
      </c>
      <c r="G296" s="557">
        <f>'по МК 56'!D47/1000</f>
        <v>0.151</v>
      </c>
      <c r="H296" s="465">
        <f t="shared" si="17"/>
        <v>1191.6519925499999</v>
      </c>
      <c r="I296" s="468">
        <v>0</v>
      </c>
      <c r="J296" s="468">
        <v>0</v>
      </c>
      <c r="K296" s="468">
        <f>'по МК 56'!E47/1000</f>
        <v>1191.6519925499999</v>
      </c>
      <c r="L296" s="468">
        <v>0</v>
      </c>
      <c r="M296" s="561">
        <v>0</v>
      </c>
      <c r="N296" s="249"/>
      <c r="O296" s="250"/>
    </row>
    <row r="297" spans="2:15" ht="33" customHeight="1" x14ac:dyDescent="0.25">
      <c r="B297" s="492" t="str">
        <f>'по МК 56'!C48</f>
        <v>Капитальный ремонт автомобильных дорог города Орла на улицах частной жилой застройки: ул. Пойменная 1 этап</v>
      </c>
      <c r="C297" s="479"/>
      <c r="D297" s="465"/>
      <c r="E297" s="480"/>
      <c r="F297" s="490">
        <f t="shared" si="18"/>
        <v>1720</v>
      </c>
      <c r="G297" s="557">
        <v>0.43</v>
      </c>
      <c r="H297" s="465">
        <f t="shared" si="17"/>
        <v>7307.7466562999998</v>
      </c>
      <c r="I297" s="468">
        <v>0</v>
      </c>
      <c r="J297" s="468">
        <v>0</v>
      </c>
      <c r="K297" s="468">
        <f>'перечень объектов'!C310</f>
        <v>7307.7466562999998</v>
      </c>
      <c r="L297" s="468">
        <v>0</v>
      </c>
      <c r="M297" s="561">
        <v>0</v>
      </c>
      <c r="N297" s="249"/>
      <c r="O297" s="250"/>
    </row>
    <row r="298" spans="2:15" ht="33" x14ac:dyDescent="0.25">
      <c r="B298" s="492" t="str">
        <f>'по МК 56'!C50</f>
        <v>Капитальный ремонт автомобильных дорог города Орла на улицах частной жилой застройки: пер. Преображенского</v>
      </c>
      <c r="C298" s="479"/>
      <c r="D298" s="465"/>
      <c r="E298" s="480"/>
      <c r="F298" s="490">
        <f t="shared" si="18"/>
        <v>840</v>
      </c>
      <c r="G298" s="557">
        <v>0.21</v>
      </c>
      <c r="H298" s="465">
        <f t="shared" si="17"/>
        <v>1791.4238563500001</v>
      </c>
      <c r="I298" s="468">
        <v>0</v>
      </c>
      <c r="J298" s="468">
        <v>0</v>
      </c>
      <c r="K298" s="468">
        <f>'по МК 56'!E50/1000</f>
        <v>1791.4238563500001</v>
      </c>
      <c r="L298" s="468">
        <v>0</v>
      </c>
      <c r="M298" s="561">
        <v>0</v>
      </c>
      <c r="N298" s="249"/>
      <c r="O298" s="250"/>
    </row>
    <row r="299" spans="2:15" ht="33" x14ac:dyDescent="0.25">
      <c r="B299" s="492" t="str">
        <f>'по МК 56'!C51</f>
        <v>Капитальный ремонт автомобильных дорог города Орла на улицах частной жилой застройки: ул. Радужная</v>
      </c>
      <c r="C299" s="479"/>
      <c r="D299" s="465"/>
      <c r="E299" s="480"/>
      <c r="F299" s="490">
        <f t="shared" si="18"/>
        <v>2312</v>
      </c>
      <c r="G299" s="557">
        <f>'по МК 56'!D51/1000</f>
        <v>0.57799999999999996</v>
      </c>
      <c r="H299" s="465">
        <f t="shared" si="17"/>
        <v>4561.4228588999995</v>
      </c>
      <c r="I299" s="468">
        <v>0</v>
      </c>
      <c r="J299" s="468">
        <v>0</v>
      </c>
      <c r="K299" s="468">
        <f>'по МК 56'!E51/1000</f>
        <v>4561.4228588999995</v>
      </c>
      <c r="L299" s="468">
        <v>0</v>
      </c>
      <c r="M299" s="561">
        <v>0</v>
      </c>
      <c r="N299" s="249"/>
      <c r="O299" s="250"/>
    </row>
    <row r="300" spans="2:15" ht="33" x14ac:dyDescent="0.25">
      <c r="B300" s="492" t="str">
        <f>'по МК 56'!C52</f>
        <v>Капитальный ремонт автомобильных дорог города Орла на улицах частной жилой застройки: Равнинный пер.</v>
      </c>
      <c r="C300" s="479"/>
      <c r="D300" s="465"/>
      <c r="E300" s="480"/>
      <c r="F300" s="490">
        <f t="shared" si="18"/>
        <v>560</v>
      </c>
      <c r="G300" s="557">
        <v>0.14000000000000001</v>
      </c>
      <c r="H300" s="465">
        <f t="shared" si="17"/>
        <v>1365.2701636499999</v>
      </c>
      <c r="I300" s="468">
        <v>0</v>
      </c>
      <c r="J300" s="468">
        <v>0</v>
      </c>
      <c r="K300" s="468">
        <f>'по МК 56'!E52/1000</f>
        <v>1365.2701636499999</v>
      </c>
      <c r="L300" s="468">
        <v>0</v>
      </c>
      <c r="M300" s="561">
        <v>0</v>
      </c>
      <c r="N300" s="249"/>
      <c r="O300" s="250"/>
    </row>
    <row r="301" spans="2:15" ht="33" x14ac:dyDescent="0.25">
      <c r="B301" s="492" t="str">
        <f>'по МК 56'!C53</f>
        <v>Капитальный ремонт автомобильных дорог города Орла на улицах частной жилой застройки: пер. Скульптурный</v>
      </c>
      <c r="C301" s="479"/>
      <c r="D301" s="465"/>
      <c r="E301" s="480"/>
      <c r="F301" s="490">
        <f t="shared" si="18"/>
        <v>532</v>
      </c>
      <c r="G301" s="557">
        <f>'по МК 56'!D53/1000</f>
        <v>0.13300000000000001</v>
      </c>
      <c r="H301" s="465">
        <f t="shared" si="17"/>
        <v>1049.6007616500001</v>
      </c>
      <c r="I301" s="468">
        <v>0</v>
      </c>
      <c r="J301" s="468">
        <v>0</v>
      </c>
      <c r="K301" s="468">
        <f>'по МК 56'!E53/1000</f>
        <v>1049.6007616500001</v>
      </c>
      <c r="L301" s="468">
        <v>0</v>
      </c>
      <c r="M301" s="561">
        <v>0</v>
      </c>
      <c r="N301" s="249"/>
      <c r="O301" s="250"/>
    </row>
    <row r="302" spans="2:15" ht="33" x14ac:dyDescent="0.25">
      <c r="B302" s="492" t="str">
        <f>'по МК 56'!C54</f>
        <v>Капитальный ремонт автомобильных дорог города Орла на улицах частной жилой застройки: пер. Проходной</v>
      </c>
      <c r="C302" s="479"/>
      <c r="D302" s="465"/>
      <c r="E302" s="480"/>
      <c r="F302" s="490">
        <f t="shared" si="18"/>
        <v>492</v>
      </c>
      <c r="G302" s="557">
        <f>'по МК 56'!D54/1000</f>
        <v>0.123</v>
      </c>
      <c r="H302" s="465">
        <f t="shared" si="17"/>
        <v>970.68341114999998</v>
      </c>
      <c r="I302" s="468">
        <v>0</v>
      </c>
      <c r="J302" s="468">
        <v>0</v>
      </c>
      <c r="K302" s="468">
        <f>'по МК 56'!E54/1000</f>
        <v>970.68341114999998</v>
      </c>
      <c r="L302" s="468">
        <v>0</v>
      </c>
      <c r="M302" s="561">
        <v>0</v>
      </c>
      <c r="N302" s="249"/>
      <c r="O302" s="250"/>
    </row>
    <row r="303" spans="2:15" ht="33" x14ac:dyDescent="0.25">
      <c r="B303" s="492" t="str">
        <f>'по МК 56'!C55</f>
        <v>Капитальный ремонт автомобильных дорог города Орла на улицах частной жилой застройки: пер. Заливной</v>
      </c>
      <c r="C303" s="479"/>
      <c r="D303" s="465"/>
      <c r="E303" s="480"/>
      <c r="F303" s="490">
        <f t="shared" si="18"/>
        <v>560</v>
      </c>
      <c r="G303" s="557">
        <v>0.14000000000000001</v>
      </c>
      <c r="H303" s="465">
        <f t="shared" si="17"/>
        <v>1262.6776079999997</v>
      </c>
      <c r="I303" s="468">
        <v>0</v>
      </c>
      <c r="J303" s="468">
        <v>0</v>
      </c>
      <c r="K303" s="468">
        <f>'по МК 56'!E55/1000</f>
        <v>1262.6776079999997</v>
      </c>
      <c r="L303" s="468">
        <v>0</v>
      </c>
      <c r="M303" s="561">
        <v>0</v>
      </c>
      <c r="N303" s="249"/>
      <c r="O303" s="250"/>
    </row>
    <row r="304" spans="2:15" ht="33" x14ac:dyDescent="0.25">
      <c r="B304" s="492" t="str">
        <f>'по МК 56'!C56</f>
        <v>Капитальный ремонт автомобильных дорог города Орла на улицах частной жилой застройки: ул. Преображенского</v>
      </c>
      <c r="C304" s="479"/>
      <c r="D304" s="465"/>
      <c r="E304" s="480"/>
      <c r="F304" s="490">
        <f t="shared" si="18"/>
        <v>3916</v>
      </c>
      <c r="G304" s="557">
        <f>'по МК 56'!D56/1000</f>
        <v>0.97899999999999998</v>
      </c>
      <c r="H304" s="465">
        <f t="shared" si="17"/>
        <v>7726.0086339499985</v>
      </c>
      <c r="I304" s="468">
        <v>0</v>
      </c>
      <c r="J304" s="468">
        <v>0</v>
      </c>
      <c r="K304" s="468">
        <f>'по МК 56'!E56/1000</f>
        <v>7726.0086339499985</v>
      </c>
      <c r="L304" s="468">
        <v>0</v>
      </c>
      <c r="M304" s="561">
        <v>0</v>
      </c>
      <c r="N304" s="249"/>
      <c r="O304" s="250"/>
    </row>
    <row r="305" spans="2:15" ht="33" x14ac:dyDescent="0.25">
      <c r="B305" s="492" t="str">
        <f>'по МК 56'!C57</f>
        <v>Капитальный ремонт автомобильных дорог города Орла на улицах частной жилой застройки: пер. Донской</v>
      </c>
      <c r="C305" s="479"/>
      <c r="D305" s="465"/>
      <c r="E305" s="480"/>
      <c r="F305" s="490">
        <f t="shared" si="18"/>
        <v>1280</v>
      </c>
      <c r="G305" s="557">
        <v>0.32</v>
      </c>
      <c r="H305" s="465">
        <f t="shared" si="17"/>
        <v>5034.9269618999997</v>
      </c>
      <c r="I305" s="468">
        <v>0</v>
      </c>
      <c r="J305" s="468">
        <v>0</v>
      </c>
      <c r="K305" s="468">
        <f>'по МК 56'!E57/1000</f>
        <v>5034.9269618999997</v>
      </c>
      <c r="L305" s="468">
        <v>0</v>
      </c>
      <c r="M305" s="561">
        <v>0</v>
      </c>
      <c r="N305" s="249"/>
      <c r="O305" s="250"/>
    </row>
    <row r="306" spans="2:15" ht="33" x14ac:dyDescent="0.25">
      <c r="B306" s="492" t="str">
        <f>'по МК 56'!C58</f>
        <v>Капитальный ремонт автомобильных дорог города Орла на улицах частной жилой застройки: туп. Стеклянный</v>
      </c>
      <c r="C306" s="479"/>
      <c r="D306" s="465"/>
      <c r="E306" s="480"/>
      <c r="F306" s="490">
        <f t="shared" si="18"/>
        <v>560</v>
      </c>
      <c r="G306" s="557">
        <v>0.14000000000000001</v>
      </c>
      <c r="H306" s="465">
        <f t="shared" si="17"/>
        <v>1459.9709842499999</v>
      </c>
      <c r="I306" s="468">
        <v>0</v>
      </c>
      <c r="J306" s="468">
        <v>0</v>
      </c>
      <c r="K306" s="468">
        <f>'по МК 56'!E58/1000</f>
        <v>1459.9709842499999</v>
      </c>
      <c r="L306" s="468">
        <v>0</v>
      </c>
      <c r="M306" s="561">
        <v>0</v>
      </c>
      <c r="N306" s="249"/>
      <c r="O306" s="250"/>
    </row>
    <row r="307" spans="2:15" ht="33" x14ac:dyDescent="0.25">
      <c r="B307" s="492" t="str">
        <f>'по МК 56'!C59</f>
        <v>Капитальный ремонт автомобильных дорог города Орла на улицах частной жилой застройки: пер. Стеклянный</v>
      </c>
      <c r="C307" s="479"/>
      <c r="D307" s="465"/>
      <c r="E307" s="480"/>
      <c r="F307" s="490">
        <f t="shared" si="18"/>
        <v>420</v>
      </c>
      <c r="G307" s="557">
        <f>'по МК 56'!D59/1000</f>
        <v>0.105</v>
      </c>
      <c r="H307" s="465">
        <f t="shared" si="17"/>
        <v>828.63218024999981</v>
      </c>
      <c r="I307" s="468">
        <v>0</v>
      </c>
      <c r="J307" s="468">
        <v>0</v>
      </c>
      <c r="K307" s="468">
        <f>'по МК 56'!E59/1000</f>
        <v>828.63218024999981</v>
      </c>
      <c r="L307" s="468">
        <v>0</v>
      </c>
      <c r="M307" s="561">
        <v>0</v>
      </c>
      <c r="N307" s="249"/>
      <c r="O307" s="250"/>
    </row>
    <row r="308" spans="2:15" ht="33" x14ac:dyDescent="0.25">
      <c r="B308" s="492" t="str">
        <f>'по МК 56'!C60</f>
        <v>Капитальный ремонт автомобильных дорог города Орла на улицах частной жилой застройки: пер. Игрушечный</v>
      </c>
      <c r="C308" s="479"/>
      <c r="D308" s="465"/>
      <c r="E308" s="480"/>
      <c r="F308" s="490">
        <f t="shared" si="18"/>
        <v>1240</v>
      </c>
      <c r="G308" s="557">
        <v>0.31</v>
      </c>
      <c r="H308" s="465">
        <f t="shared" si="17"/>
        <v>2549.0304211499997</v>
      </c>
      <c r="I308" s="468">
        <v>0</v>
      </c>
      <c r="J308" s="468">
        <v>0</v>
      </c>
      <c r="K308" s="468">
        <f>'по МК 56'!E60/1000</f>
        <v>2549.0304211499997</v>
      </c>
      <c r="L308" s="468">
        <v>0</v>
      </c>
      <c r="M308" s="561">
        <v>0</v>
      </c>
      <c r="N308" s="249"/>
      <c r="O308" s="250"/>
    </row>
    <row r="309" spans="2:15" ht="33" x14ac:dyDescent="0.25">
      <c r="B309" s="492" t="str">
        <f>'по МК 56'!C61</f>
        <v>Капитальный ремонт автомобильных дорог города Орла на улицах частной жилой застройки: туп. Линейный</v>
      </c>
      <c r="C309" s="479"/>
      <c r="D309" s="465"/>
      <c r="E309" s="480"/>
      <c r="F309" s="490">
        <f t="shared" si="18"/>
        <v>800</v>
      </c>
      <c r="G309" s="557">
        <v>0.2</v>
      </c>
      <c r="H309" s="465">
        <f t="shared" si="17"/>
        <v>2391.1957201499999</v>
      </c>
      <c r="I309" s="468">
        <v>0</v>
      </c>
      <c r="J309" s="468">
        <v>0</v>
      </c>
      <c r="K309" s="468">
        <f>'по МК 56'!E61/1000</f>
        <v>2391.1957201499999</v>
      </c>
      <c r="L309" s="468">
        <v>0</v>
      </c>
      <c r="M309" s="561">
        <v>0</v>
      </c>
      <c r="N309" s="249"/>
      <c r="O309" s="250"/>
    </row>
    <row r="310" spans="2:15" ht="33" x14ac:dyDescent="0.25">
      <c r="B310" s="492" t="str">
        <f>'по МК 56'!C62</f>
        <v>Капитальный ремонт автомобильных дорог города Орла на улицах частной жилой застройки: ул. Чкалова</v>
      </c>
      <c r="C310" s="479"/>
      <c r="D310" s="465"/>
      <c r="E310" s="480"/>
      <c r="F310" s="490">
        <f t="shared" si="18"/>
        <v>6000</v>
      </c>
      <c r="G310" s="557">
        <f>'по МК 56'!D62/1000</f>
        <v>1.5</v>
      </c>
      <c r="H310" s="465">
        <f t="shared" si="17"/>
        <v>11837.602574999999</v>
      </c>
      <c r="I310" s="468">
        <v>0</v>
      </c>
      <c r="J310" s="468">
        <v>0</v>
      </c>
      <c r="K310" s="468">
        <f>'по МК 56'!E62/1000</f>
        <v>11837.602574999999</v>
      </c>
      <c r="L310" s="468">
        <v>0</v>
      </c>
      <c r="M310" s="561">
        <v>0</v>
      </c>
      <c r="N310" s="249"/>
      <c r="O310" s="250"/>
    </row>
    <row r="311" spans="2:15" ht="33" x14ac:dyDescent="0.25">
      <c r="B311" s="492" t="str">
        <f>'по МК 56'!C63</f>
        <v>Капитальный ремонт автомобильных дорог города Орла на улицах частной жилой застройки: ул. Станционная</v>
      </c>
      <c r="C311" s="479"/>
      <c r="D311" s="465"/>
      <c r="E311" s="480"/>
      <c r="F311" s="490">
        <f t="shared" si="18"/>
        <v>3508</v>
      </c>
      <c r="G311" s="557">
        <f>'по МК 56'!D63/1000</f>
        <v>0.877</v>
      </c>
      <c r="H311" s="465">
        <f t="shared" si="17"/>
        <v>6921.05163885</v>
      </c>
      <c r="I311" s="468">
        <v>0</v>
      </c>
      <c r="J311" s="468">
        <v>0</v>
      </c>
      <c r="K311" s="468">
        <f>'по МК 56'!E63/1000</f>
        <v>6921.05163885</v>
      </c>
      <c r="L311" s="468">
        <v>0</v>
      </c>
      <c r="M311" s="561">
        <v>0</v>
      </c>
      <c r="N311" s="249"/>
      <c r="O311" s="250"/>
    </row>
    <row r="312" spans="2:15" ht="33" x14ac:dyDescent="0.25">
      <c r="B312" s="492" t="str">
        <f>'по МК 56'!C64</f>
        <v>Капитальный ремонт автомобильных дорог города Орла на улицах частной жилой застройки: ул. Лесопильная</v>
      </c>
      <c r="C312" s="479"/>
      <c r="D312" s="465"/>
      <c r="E312" s="480"/>
      <c r="F312" s="490">
        <f t="shared" si="18"/>
        <v>4000</v>
      </c>
      <c r="G312" s="557">
        <f>'по МК 56'!D64/1000</f>
        <v>1</v>
      </c>
      <c r="H312" s="465">
        <f t="shared" si="17"/>
        <v>7891.7350500000002</v>
      </c>
      <c r="I312" s="468">
        <v>0</v>
      </c>
      <c r="J312" s="468">
        <v>0</v>
      </c>
      <c r="K312" s="468">
        <f>'по МК 56'!E64/1000</f>
        <v>7891.7350500000002</v>
      </c>
      <c r="L312" s="468">
        <v>0</v>
      </c>
      <c r="M312" s="561">
        <v>0</v>
      </c>
      <c r="N312" s="249"/>
      <c r="O312" s="250"/>
    </row>
    <row r="313" spans="2:15" ht="33" x14ac:dyDescent="0.25">
      <c r="B313" s="492" t="str">
        <f>'по МК 56'!C65</f>
        <v>Капитальный ремонт автомобильных дорог города Орла на улицах частной жилой застройки: ул. Деревообделочная</v>
      </c>
      <c r="C313" s="479"/>
      <c r="D313" s="465"/>
      <c r="E313" s="480"/>
      <c r="F313" s="490">
        <f t="shared" si="18"/>
        <v>4000</v>
      </c>
      <c r="G313" s="557">
        <f>'по МК 56'!D65/1000</f>
        <v>1</v>
      </c>
      <c r="H313" s="465">
        <f t="shared" ref="H313:H345" si="19">SUM(I313:M313)</f>
        <v>7891.7350500000002</v>
      </c>
      <c r="I313" s="468">
        <v>0</v>
      </c>
      <c r="J313" s="468">
        <v>0</v>
      </c>
      <c r="K313" s="468">
        <f>'по МК 56'!E65/1000</f>
        <v>7891.7350500000002</v>
      </c>
      <c r="L313" s="468">
        <v>0</v>
      </c>
      <c r="M313" s="561">
        <v>0</v>
      </c>
      <c r="N313" s="249"/>
      <c r="O313" s="250"/>
    </row>
    <row r="314" spans="2:15" ht="33" x14ac:dyDescent="0.25">
      <c r="B314" s="492" t="str">
        <f>'по МК 56'!C66</f>
        <v>Капитальный ремонт автомобильных дорог города Орла на улицах частной жилой застройки: ул. Шульгина 1 этап</v>
      </c>
      <c r="C314" s="479"/>
      <c r="D314" s="465"/>
      <c r="E314" s="480"/>
      <c r="F314" s="490">
        <f t="shared" si="18"/>
        <v>6380</v>
      </c>
      <c r="G314" s="557">
        <f>'по МК 56'!D66/1000+1.3</f>
        <v>1.595</v>
      </c>
      <c r="H314" s="465">
        <f t="shared" si="19"/>
        <v>12587.31740475</v>
      </c>
      <c r="I314" s="468">
        <v>0</v>
      </c>
      <c r="J314" s="468">
        <v>0</v>
      </c>
      <c r="K314" s="468">
        <f>'перечень объектов'!C327</f>
        <v>12587.31740475</v>
      </c>
      <c r="L314" s="468">
        <v>0</v>
      </c>
      <c r="M314" s="561">
        <v>0</v>
      </c>
      <c r="N314" s="249"/>
      <c r="O314" s="250"/>
    </row>
    <row r="315" spans="2:15" ht="33" x14ac:dyDescent="0.25">
      <c r="B315" s="492" t="str">
        <f>'по МК 56'!C68</f>
        <v>Капитальный ремонт автомобильных дорог города Орла на улицах частной жилой застройки: ул. Крестьянская</v>
      </c>
      <c r="C315" s="479"/>
      <c r="D315" s="465"/>
      <c r="E315" s="480"/>
      <c r="F315" s="490">
        <f t="shared" si="18"/>
        <v>148</v>
      </c>
      <c r="G315" s="557">
        <v>3.6999999999999998E-2</v>
      </c>
      <c r="H315" s="465">
        <f t="shared" si="19"/>
        <v>3724.8989435999997</v>
      </c>
      <c r="I315" s="468">
        <v>0</v>
      </c>
      <c r="J315" s="468">
        <v>0</v>
      </c>
      <c r="K315" s="468">
        <f>'по МК 56'!E68/1000</f>
        <v>3724.8989435999997</v>
      </c>
      <c r="L315" s="468">
        <v>0</v>
      </c>
      <c r="M315" s="561">
        <v>0</v>
      </c>
      <c r="N315" s="249"/>
      <c r="O315" s="250"/>
    </row>
    <row r="316" spans="2:15" ht="33" x14ac:dyDescent="0.25">
      <c r="B316" s="492" t="str">
        <f>'по МК 56'!C69</f>
        <v>Капитальный ремонт автомобильных дорог города Орла на улицах частной жилой застройки: пер. Смоленский</v>
      </c>
      <c r="C316" s="479"/>
      <c r="D316" s="465"/>
      <c r="E316" s="480"/>
      <c r="F316" s="490">
        <f t="shared" si="18"/>
        <v>1372</v>
      </c>
      <c r="G316" s="557">
        <v>0.34300000000000003</v>
      </c>
      <c r="H316" s="465">
        <f t="shared" si="19"/>
        <v>2706.8651221500004</v>
      </c>
      <c r="I316" s="468">
        <v>0</v>
      </c>
      <c r="J316" s="468">
        <v>0</v>
      </c>
      <c r="K316" s="468">
        <f>'по МК 56'!E69/1000</f>
        <v>2706.8651221500004</v>
      </c>
      <c r="L316" s="468">
        <v>0</v>
      </c>
      <c r="M316" s="561">
        <v>0</v>
      </c>
      <c r="N316" s="249"/>
      <c r="O316" s="250"/>
    </row>
    <row r="317" spans="2:15" ht="33" x14ac:dyDescent="0.25">
      <c r="B317" s="492" t="str">
        <f>'по МК 56'!C70</f>
        <v>Капитальный ремонт автомобильных дорог города Орла на улицах частной жилой застройки: ул. Текстильная</v>
      </c>
      <c r="C317" s="479"/>
      <c r="D317" s="465"/>
      <c r="E317" s="480"/>
      <c r="F317" s="490">
        <f t="shared" si="18"/>
        <v>1080</v>
      </c>
      <c r="G317" s="557">
        <v>0.27</v>
      </c>
      <c r="H317" s="465">
        <f t="shared" si="19"/>
        <v>3582.8477427000003</v>
      </c>
      <c r="I317" s="468">
        <v>0</v>
      </c>
      <c r="J317" s="468">
        <v>0</v>
      </c>
      <c r="K317" s="468">
        <f>'по МК 56'!E70/1000+0.00001</f>
        <v>3582.8477427000003</v>
      </c>
      <c r="L317" s="468">
        <v>0</v>
      </c>
      <c r="M317" s="561">
        <v>0</v>
      </c>
      <c r="N317" s="249"/>
      <c r="O317" s="250"/>
    </row>
    <row r="318" spans="2:15" ht="33" x14ac:dyDescent="0.25">
      <c r="B318" s="492" t="str">
        <f>'по МК 56'!C71</f>
        <v>Капитальный ремонт автомобильных дорог города Орла на улицах частной жилой застройки: ул. Лазо</v>
      </c>
      <c r="C318" s="479"/>
      <c r="D318" s="465"/>
      <c r="E318" s="480"/>
      <c r="F318" s="490">
        <f t="shared" si="18"/>
        <v>1312</v>
      </c>
      <c r="G318" s="557">
        <f>'по МК 56'!D71/1000</f>
        <v>0.32800000000000001</v>
      </c>
      <c r="H318" s="465">
        <f t="shared" si="19"/>
        <v>9379.69362</v>
      </c>
      <c r="I318" s="468">
        <v>0</v>
      </c>
      <c r="J318" s="468">
        <v>0</v>
      </c>
      <c r="K318" s="468">
        <f>'перечень объектов'!C331</f>
        <v>9379.69362</v>
      </c>
      <c r="L318" s="468">
        <v>0</v>
      </c>
      <c r="M318" s="561">
        <v>0</v>
      </c>
      <c r="N318" s="249"/>
      <c r="O318" s="250"/>
    </row>
    <row r="319" spans="2:15" x14ac:dyDescent="0.25">
      <c r="B319" s="492" t="str">
        <f>'перечень объектов'!B365</f>
        <v>ремонт пер. Новосильский</v>
      </c>
      <c r="C319" s="479"/>
      <c r="D319" s="465"/>
      <c r="E319" s="480"/>
      <c r="F319" s="490">
        <f t="shared" si="18"/>
        <v>880</v>
      </c>
      <c r="G319" s="557">
        <v>0.22</v>
      </c>
      <c r="H319" s="465">
        <f t="shared" si="19"/>
        <v>18500</v>
      </c>
      <c r="I319" s="468">
        <v>0</v>
      </c>
      <c r="J319" s="468">
        <v>0</v>
      </c>
      <c r="K319" s="468">
        <v>0</v>
      </c>
      <c r="L319" s="468">
        <f>'перечень объектов'!C365</f>
        <v>18500</v>
      </c>
      <c r="M319" s="561">
        <v>0</v>
      </c>
      <c r="N319" s="249"/>
      <c r="O319" s="250"/>
    </row>
    <row r="320" spans="2:15" x14ac:dyDescent="0.25">
      <c r="B320" s="492" t="str">
        <f>'перечень объектов'!B366</f>
        <v>ремонт ул. 3-я Курская;</v>
      </c>
      <c r="C320" s="479"/>
      <c r="D320" s="465"/>
      <c r="E320" s="480"/>
      <c r="F320" s="490">
        <f>G320*8*1000</f>
        <v>9744</v>
      </c>
      <c r="G320" s="557">
        <v>1.218</v>
      </c>
      <c r="H320" s="465">
        <f t="shared" si="19"/>
        <v>48900</v>
      </c>
      <c r="I320" s="468">
        <v>0</v>
      </c>
      <c r="J320" s="468">
        <v>0</v>
      </c>
      <c r="K320" s="468">
        <v>0</v>
      </c>
      <c r="L320" s="468">
        <f>'перечень объектов'!C366</f>
        <v>48900</v>
      </c>
      <c r="M320" s="561">
        <v>0</v>
      </c>
      <c r="N320" s="249"/>
      <c r="O320" s="250"/>
    </row>
    <row r="321" spans="2:15" x14ac:dyDescent="0.25">
      <c r="B321" s="492" t="str">
        <f>'перечень объектов'!B367</f>
        <v>капитальный ремонт ул. 1-ая Пушкарная;</v>
      </c>
      <c r="C321" s="479"/>
      <c r="D321" s="465"/>
      <c r="E321" s="480"/>
      <c r="F321" s="490">
        <f t="shared" ref="F321:F325" si="20">G321*4*1000</f>
        <v>5925.6</v>
      </c>
      <c r="G321" s="557">
        <v>1.4814000000000001</v>
      </c>
      <c r="H321" s="465">
        <f t="shared" si="19"/>
        <v>23500</v>
      </c>
      <c r="I321" s="468">
        <v>0</v>
      </c>
      <c r="J321" s="468">
        <v>0</v>
      </c>
      <c r="K321" s="468">
        <v>0</v>
      </c>
      <c r="L321" s="468">
        <f>'перечень объектов'!C367</f>
        <v>23500</v>
      </c>
      <c r="M321" s="561">
        <v>0</v>
      </c>
      <c r="N321" s="249"/>
      <c r="O321" s="250"/>
    </row>
    <row r="322" spans="2:15" x14ac:dyDescent="0.25">
      <c r="B322" s="492" t="str">
        <f>'перечень объектов'!B368</f>
        <v>капитальный ремонт ул. Энгельса (2 этап);</v>
      </c>
      <c r="C322" s="479"/>
      <c r="D322" s="465"/>
      <c r="E322" s="480"/>
      <c r="F322" s="490">
        <f t="shared" si="20"/>
        <v>2385.2000000000003</v>
      </c>
      <c r="G322" s="557">
        <v>0.59630000000000005</v>
      </c>
      <c r="H322" s="465">
        <f t="shared" si="19"/>
        <v>8500</v>
      </c>
      <c r="I322" s="468">
        <v>0</v>
      </c>
      <c r="J322" s="468">
        <v>0</v>
      </c>
      <c r="K322" s="468">
        <v>0</v>
      </c>
      <c r="L322" s="468">
        <f>'перечень объектов'!C368</f>
        <v>8500</v>
      </c>
      <c r="M322" s="561">
        <v>0</v>
      </c>
      <c r="N322" s="249"/>
      <c r="O322" s="250"/>
    </row>
    <row r="323" spans="2:15" x14ac:dyDescent="0.25">
      <c r="B323" s="492" t="str">
        <f>'перечень объектов'!B369</f>
        <v xml:space="preserve">Капитальный ремонт автомобильной дороги ул. Тамбовская </v>
      </c>
      <c r="C323" s="479"/>
      <c r="D323" s="465"/>
      <c r="E323" s="480"/>
      <c r="F323" s="490">
        <f t="shared" si="20"/>
        <v>3000</v>
      </c>
      <c r="G323" s="557">
        <v>0.75</v>
      </c>
      <c r="H323" s="465">
        <f t="shared" si="19"/>
        <v>22000</v>
      </c>
      <c r="I323" s="468">
        <v>0</v>
      </c>
      <c r="J323" s="468">
        <v>0</v>
      </c>
      <c r="K323" s="468">
        <v>0</v>
      </c>
      <c r="L323" s="468">
        <f>'перечень объектов'!C369</f>
        <v>22000</v>
      </c>
      <c r="M323" s="561">
        <v>0</v>
      </c>
      <c r="N323" s="249"/>
      <c r="O323" s="250"/>
    </row>
    <row r="324" spans="2:15" x14ac:dyDescent="0.25">
      <c r="B324" s="492" t="str">
        <f>'перечень объектов'!B370</f>
        <v xml:space="preserve">Капитальный ремонт автомобильной дороги ул. Солнцевская </v>
      </c>
      <c r="C324" s="479"/>
      <c r="D324" s="465"/>
      <c r="E324" s="480"/>
      <c r="F324" s="490">
        <f t="shared" si="20"/>
        <v>2840</v>
      </c>
      <c r="G324" s="557">
        <v>0.71</v>
      </c>
      <c r="H324" s="465">
        <f t="shared" si="19"/>
        <v>21000</v>
      </c>
      <c r="I324" s="468">
        <v>0</v>
      </c>
      <c r="J324" s="468">
        <v>0</v>
      </c>
      <c r="K324" s="468">
        <v>0</v>
      </c>
      <c r="L324" s="468">
        <f>'перечень объектов'!C370</f>
        <v>21000</v>
      </c>
      <c r="M324" s="561">
        <v>0</v>
      </c>
      <c r="N324" s="249"/>
      <c r="O324" s="250"/>
    </row>
    <row r="325" spans="2:15" x14ac:dyDescent="0.25">
      <c r="B325" s="492" t="str">
        <f>'перечень объектов'!B371</f>
        <v xml:space="preserve">Капитальный ремонт автомобильной дороги ул. Пархоменко </v>
      </c>
      <c r="C325" s="479"/>
      <c r="D325" s="465"/>
      <c r="E325" s="480"/>
      <c r="F325" s="490">
        <f t="shared" si="20"/>
        <v>6800</v>
      </c>
      <c r="G325" s="557">
        <v>1.7</v>
      </c>
      <c r="H325" s="465">
        <f t="shared" si="19"/>
        <v>35000</v>
      </c>
      <c r="I325" s="468">
        <v>0</v>
      </c>
      <c r="J325" s="468">
        <v>0</v>
      </c>
      <c r="K325" s="468">
        <v>0</v>
      </c>
      <c r="L325" s="468">
        <f>'перечень объектов'!C371</f>
        <v>35000</v>
      </c>
      <c r="M325" s="561">
        <v>0</v>
      </c>
      <c r="N325" s="249"/>
      <c r="O325" s="250"/>
    </row>
    <row r="326" spans="2:15" ht="49.5" x14ac:dyDescent="0.25">
      <c r="B326" s="492" t="str">
        <f>'перечень объектов'!B374</f>
        <v xml:space="preserve">Капитальный ремонт автомобильной дороги ул. Русанова на участке от пересечения с наб. Дубровинского до пересечения с ул. 1-я Курская </v>
      </c>
      <c r="C326" s="479"/>
      <c r="D326" s="465"/>
      <c r="E326" s="480"/>
      <c r="F326" s="490">
        <v>7520</v>
      </c>
      <c r="G326" s="482">
        <v>0.94</v>
      </c>
      <c r="H326" s="465">
        <f t="shared" si="19"/>
        <v>26320</v>
      </c>
      <c r="I326" s="468">
        <v>0</v>
      </c>
      <c r="J326" s="468">
        <v>0</v>
      </c>
      <c r="K326" s="465">
        <v>0</v>
      </c>
      <c r="L326" s="468">
        <f>'перечень объектов'!C374</f>
        <v>26320</v>
      </c>
      <c r="M326" s="561">
        <v>0</v>
      </c>
      <c r="N326" s="249"/>
      <c r="O326" s="250"/>
    </row>
    <row r="327" spans="2:15" x14ac:dyDescent="0.25">
      <c r="B327" s="492" t="str">
        <f>'перечень объектов'!B375</f>
        <v xml:space="preserve">Капитальный ремонт автомобильной дороги ул. Колхозная </v>
      </c>
      <c r="C327" s="479"/>
      <c r="D327" s="465"/>
      <c r="E327" s="480"/>
      <c r="F327" s="490">
        <f t="shared" ref="F327:F385" si="21">G327*4*1000</f>
        <v>6120</v>
      </c>
      <c r="G327" s="482">
        <v>1.53</v>
      </c>
      <c r="H327" s="465">
        <f t="shared" si="19"/>
        <v>50290.852019999998</v>
      </c>
      <c r="I327" s="468">
        <v>0</v>
      </c>
      <c r="J327" s="468">
        <v>0</v>
      </c>
      <c r="K327" s="465">
        <v>0</v>
      </c>
      <c r="L327" s="468">
        <f>'перечень объектов'!C375</f>
        <v>50290.852019999998</v>
      </c>
      <c r="M327" s="561">
        <v>0</v>
      </c>
      <c r="N327" s="249"/>
      <c r="O327" s="250"/>
    </row>
    <row r="328" spans="2:15" ht="33" x14ac:dyDescent="0.25">
      <c r="B328" s="492" t="str">
        <f>'по МК 56'!C74</f>
        <v>Капитальный ремонт автомобильных дорог города Орла на улицах частной жилой застройки: пер. Кировский</v>
      </c>
      <c r="C328" s="479"/>
      <c r="D328" s="465"/>
      <c r="E328" s="480"/>
      <c r="F328" s="490">
        <f t="shared" si="18"/>
        <v>1256</v>
      </c>
      <c r="G328" s="557">
        <f>'по МК 56'!D74/1000</f>
        <v>0.314</v>
      </c>
      <c r="H328" s="465">
        <f t="shared" si="19"/>
        <v>2545.46108</v>
      </c>
      <c r="I328" s="468">
        <v>0</v>
      </c>
      <c r="J328" s="468">
        <v>0</v>
      </c>
      <c r="K328" s="465">
        <v>0</v>
      </c>
      <c r="L328" s="468">
        <f>'перечень объектов'!C377</f>
        <v>2545.46108</v>
      </c>
      <c r="M328" s="561">
        <v>0</v>
      </c>
      <c r="N328" s="249"/>
      <c r="O328" s="250"/>
    </row>
    <row r="329" spans="2:15" ht="33" x14ac:dyDescent="0.25">
      <c r="B329" s="492" t="str">
        <f>'по МК 56'!C75</f>
        <v>Капитальный ремонт автомобильных дорог города Орла на улицах частной жилой застройки: ул. Контактная</v>
      </c>
      <c r="C329" s="479"/>
      <c r="D329" s="465"/>
      <c r="E329" s="480"/>
      <c r="F329" s="490">
        <f t="shared" si="21"/>
        <v>2152</v>
      </c>
      <c r="G329" s="557">
        <f>'по МК 56'!D75/1000</f>
        <v>0.53800000000000003</v>
      </c>
      <c r="H329" s="465">
        <f t="shared" si="19"/>
        <v>4245.7534599999999</v>
      </c>
      <c r="I329" s="468">
        <v>0</v>
      </c>
      <c r="J329" s="468">
        <v>0</v>
      </c>
      <c r="K329" s="465">
        <v>0</v>
      </c>
      <c r="L329" s="468">
        <f>'перечень объектов'!C378</f>
        <v>4245.7534599999999</v>
      </c>
      <c r="M329" s="561">
        <v>0</v>
      </c>
      <c r="N329" s="249"/>
      <c r="O329" s="250"/>
    </row>
    <row r="330" spans="2:15" ht="33" x14ac:dyDescent="0.25">
      <c r="B330" s="492" t="str">
        <f>'по МК 56'!C76</f>
        <v>Капитальный ремонт автомобильных дорог города Орла на улицах частной жилой застройки: пер. Тепловозный</v>
      </c>
      <c r="C330" s="479"/>
      <c r="D330" s="465"/>
      <c r="E330" s="480"/>
      <c r="F330" s="490">
        <f t="shared" si="21"/>
        <v>824</v>
      </c>
      <c r="G330" s="557">
        <f>'по МК 56'!D76/1000</f>
        <v>0.20599999999999999</v>
      </c>
      <c r="H330" s="465">
        <f t="shared" si="19"/>
        <v>1625.6974203</v>
      </c>
      <c r="I330" s="468">
        <v>0</v>
      </c>
      <c r="J330" s="468">
        <v>0</v>
      </c>
      <c r="K330" s="468">
        <v>0</v>
      </c>
      <c r="L330" s="465">
        <f>'по МК 56'!E76/1000</f>
        <v>1625.6974203</v>
      </c>
      <c r="M330" s="561">
        <v>0</v>
      </c>
      <c r="N330" s="249"/>
      <c r="O330" s="250"/>
    </row>
    <row r="331" spans="2:15" ht="33" x14ac:dyDescent="0.25">
      <c r="B331" s="492" t="str">
        <f>'по МК 56'!C77</f>
        <v>Капитальный ремонт автомобильных дорог города Орла на улицах частной жилой застройки: ул. Полтавская</v>
      </c>
      <c r="C331" s="479"/>
      <c r="D331" s="465"/>
      <c r="E331" s="480"/>
      <c r="F331" s="490">
        <f t="shared" si="21"/>
        <v>768</v>
      </c>
      <c r="G331" s="557">
        <f>'по МК 56'!D77/1000</f>
        <v>0.192</v>
      </c>
      <c r="H331" s="465">
        <f t="shared" si="19"/>
        <v>1515.2131295999998</v>
      </c>
      <c r="I331" s="468">
        <v>0</v>
      </c>
      <c r="J331" s="468">
        <v>0</v>
      </c>
      <c r="K331" s="468">
        <v>0</v>
      </c>
      <c r="L331" s="465">
        <f>'по МК 56'!E77/1000</f>
        <v>1515.2131295999998</v>
      </c>
      <c r="M331" s="561">
        <v>0</v>
      </c>
      <c r="N331" s="249"/>
      <c r="O331" s="250"/>
    </row>
    <row r="332" spans="2:15" ht="33" x14ac:dyDescent="0.25">
      <c r="B332" s="492" t="str">
        <f>'по МК 56'!C78</f>
        <v>Капитальный ремонт автомобильных дорог города Орла на улицах частной жилой застройки: ул. Андриабужная</v>
      </c>
      <c r="C332" s="479"/>
      <c r="D332" s="465"/>
      <c r="E332" s="480"/>
      <c r="F332" s="490">
        <f t="shared" si="21"/>
        <v>3540</v>
      </c>
      <c r="G332" s="557">
        <v>0.88500000000000001</v>
      </c>
      <c r="H332" s="465">
        <f t="shared" si="19"/>
        <v>13415.949584999998</v>
      </c>
      <c r="I332" s="468">
        <v>0</v>
      </c>
      <c r="J332" s="468">
        <v>0</v>
      </c>
      <c r="K332" s="468">
        <v>0</v>
      </c>
      <c r="L332" s="465">
        <f>'по МК 56'!E78/1000</f>
        <v>13415.949584999998</v>
      </c>
      <c r="M332" s="561">
        <v>0</v>
      </c>
      <c r="N332" s="249"/>
      <c r="O332" s="250"/>
    </row>
    <row r="333" spans="2:15" ht="33" x14ac:dyDescent="0.25">
      <c r="B333" s="492" t="str">
        <f>'по МК 56'!C79</f>
        <v>Капитальный ремонт автомобильных дорог города Орла на улицах частной жилой застройки: пер. Самарский</v>
      </c>
      <c r="C333" s="479"/>
      <c r="D333" s="465"/>
      <c r="E333" s="480"/>
      <c r="F333" s="490">
        <f t="shared" si="21"/>
        <v>736</v>
      </c>
      <c r="G333" s="557">
        <f>'по МК 56'!D79/1000</f>
        <v>0.184</v>
      </c>
      <c r="H333" s="465">
        <f t="shared" si="19"/>
        <v>1452.0792492</v>
      </c>
      <c r="I333" s="468">
        <v>0</v>
      </c>
      <c r="J333" s="468">
        <v>0</v>
      </c>
      <c r="K333" s="468">
        <v>0</v>
      </c>
      <c r="L333" s="465">
        <f>'по МК 56'!E79/1000</f>
        <v>1452.0792492</v>
      </c>
      <c r="M333" s="561">
        <v>0</v>
      </c>
      <c r="N333" s="249"/>
      <c r="O333" s="250"/>
    </row>
    <row r="334" spans="2:15" ht="33" x14ac:dyDescent="0.25">
      <c r="B334" s="492" t="str">
        <f>'по МК 56'!C80</f>
        <v>Капитальный ремонт автомобильных дорог города Орла на улицах частной жилой застройки: ул. Пришвина</v>
      </c>
      <c r="C334" s="479"/>
      <c r="D334" s="465"/>
      <c r="E334" s="480"/>
      <c r="F334" s="490">
        <f t="shared" si="21"/>
        <v>1428</v>
      </c>
      <c r="G334" s="557">
        <f>'по МК 56'!D80/1000</f>
        <v>0.35699999999999998</v>
      </c>
      <c r="H334" s="465">
        <f t="shared" si="19"/>
        <v>2817.3494128500001</v>
      </c>
      <c r="I334" s="468">
        <v>0</v>
      </c>
      <c r="J334" s="468">
        <v>0</v>
      </c>
      <c r="K334" s="468">
        <v>0</v>
      </c>
      <c r="L334" s="465">
        <f>'по МК 56'!E80/1000</f>
        <v>2817.3494128500001</v>
      </c>
      <c r="M334" s="561">
        <v>0</v>
      </c>
      <c r="N334" s="249"/>
      <c r="O334" s="250"/>
    </row>
    <row r="335" spans="2:15" ht="33" x14ac:dyDescent="0.25">
      <c r="B335" s="492" t="str">
        <f>'по МК 56'!C81</f>
        <v>Капитальный ремонт автомобильных дорог города Орла на улицах частной жилой застройки: ул. Электровозная</v>
      </c>
      <c r="C335" s="479"/>
      <c r="D335" s="465"/>
      <c r="E335" s="480"/>
      <c r="F335" s="490">
        <f t="shared" si="21"/>
        <v>3408</v>
      </c>
      <c r="G335" s="557">
        <f>'по МК 56'!D81/1000</f>
        <v>0.85199999999999998</v>
      </c>
      <c r="H335" s="465">
        <f t="shared" si="19"/>
        <v>6723.7582626000003</v>
      </c>
      <c r="I335" s="468">
        <v>0</v>
      </c>
      <c r="J335" s="468">
        <v>0</v>
      </c>
      <c r="K335" s="468">
        <v>0</v>
      </c>
      <c r="L335" s="465">
        <f>'по МК 56'!E81/1000</f>
        <v>6723.7582626000003</v>
      </c>
      <c r="M335" s="561">
        <v>0</v>
      </c>
      <c r="N335" s="249"/>
      <c r="O335" s="250"/>
    </row>
    <row r="336" spans="2:15" ht="33" x14ac:dyDescent="0.25">
      <c r="B336" s="492" t="str">
        <f>'по МК 56'!C82</f>
        <v>Капитальный ремонт автомобильных дорог города Орла на улицах частной жилой застройки: туп. Медведевский</v>
      </c>
      <c r="C336" s="479"/>
      <c r="D336" s="465"/>
      <c r="E336" s="480"/>
      <c r="F336" s="490">
        <f t="shared" si="21"/>
        <v>884</v>
      </c>
      <c r="G336" s="557">
        <f>'по МК 56'!D82/1000</f>
        <v>0.221</v>
      </c>
      <c r="H336" s="465">
        <f t="shared" si="19"/>
        <v>1744.0734260499999</v>
      </c>
      <c r="I336" s="468">
        <v>0</v>
      </c>
      <c r="J336" s="468">
        <v>0</v>
      </c>
      <c r="K336" s="468">
        <v>0</v>
      </c>
      <c r="L336" s="465">
        <f>'по МК 56'!E82/1000-0.00001</f>
        <v>1744.0734260499999</v>
      </c>
      <c r="M336" s="561">
        <v>0</v>
      </c>
      <c r="N336" s="249"/>
      <c r="O336" s="250"/>
    </row>
    <row r="337" spans="2:15" ht="33" x14ac:dyDescent="0.25">
      <c r="B337" s="492" t="str">
        <f>'по МК 56'!C83</f>
        <v>Капитальный ремонт автомобильных дорог города Орла на улицах частной жилой застройки: пер. Торцовый</v>
      </c>
      <c r="C337" s="479"/>
      <c r="D337" s="465"/>
      <c r="E337" s="480"/>
      <c r="F337" s="490">
        <f t="shared" si="21"/>
        <v>1180</v>
      </c>
      <c r="G337" s="557">
        <f>'по МК 56'!D83/1000</f>
        <v>0.29499999999999998</v>
      </c>
      <c r="H337" s="465">
        <f t="shared" si="19"/>
        <v>2328.0618397499998</v>
      </c>
      <c r="I337" s="468">
        <v>0</v>
      </c>
      <c r="J337" s="468">
        <v>0</v>
      </c>
      <c r="K337" s="468">
        <v>0</v>
      </c>
      <c r="L337" s="465">
        <f>'по МК 56'!E83/1000</f>
        <v>2328.0618397499998</v>
      </c>
      <c r="M337" s="561">
        <v>0</v>
      </c>
      <c r="N337" s="249"/>
      <c r="O337" s="250"/>
    </row>
    <row r="338" spans="2:15" ht="33" x14ac:dyDescent="0.25">
      <c r="B338" s="492" t="str">
        <f>'по МК 56'!C84</f>
        <v>Капитальный ремонт автомобильных дорог города Орла на улицах частной жилой застройки: пер. Шахматный</v>
      </c>
      <c r="C338" s="479"/>
      <c r="D338" s="465"/>
      <c r="E338" s="480"/>
      <c r="F338" s="490">
        <f t="shared" si="21"/>
        <v>920</v>
      </c>
      <c r="G338" s="557">
        <f>'по МК 56'!D84/1000</f>
        <v>0.23</v>
      </c>
      <c r="H338" s="465">
        <f t="shared" si="19"/>
        <v>1815.0990614999998</v>
      </c>
      <c r="I338" s="468">
        <v>0</v>
      </c>
      <c r="J338" s="468">
        <v>0</v>
      </c>
      <c r="K338" s="468">
        <v>0</v>
      </c>
      <c r="L338" s="465">
        <f>'по МК 56'!E84/1000</f>
        <v>1815.0990614999998</v>
      </c>
      <c r="M338" s="561">
        <v>0</v>
      </c>
      <c r="N338" s="249"/>
      <c r="O338" s="250"/>
    </row>
    <row r="339" spans="2:15" ht="33" x14ac:dyDescent="0.25">
      <c r="B339" s="492" t="str">
        <f>'по МК 56'!C85</f>
        <v>Капитальный ремонт автомобильных дорог города Орла на улицах частной жилой застройки: проезд Парковый</v>
      </c>
      <c r="C339" s="479"/>
      <c r="D339" s="465"/>
      <c r="E339" s="480"/>
      <c r="F339" s="490">
        <f t="shared" si="21"/>
        <v>1000</v>
      </c>
      <c r="G339" s="557">
        <f>'по МК 56'!D85/1000</f>
        <v>0.25</v>
      </c>
      <c r="H339" s="465">
        <f t="shared" si="19"/>
        <v>1972.9337625000001</v>
      </c>
      <c r="I339" s="468">
        <v>0</v>
      </c>
      <c r="J339" s="468">
        <v>0</v>
      </c>
      <c r="K339" s="468">
        <v>0</v>
      </c>
      <c r="L339" s="465">
        <f>'по МК 56'!E85/1000</f>
        <v>1972.9337625000001</v>
      </c>
      <c r="M339" s="561">
        <v>0</v>
      </c>
      <c r="N339" s="249"/>
      <c r="O339" s="250"/>
    </row>
    <row r="340" spans="2:15" ht="33" x14ac:dyDescent="0.25">
      <c r="B340" s="492" t="str">
        <f>'по МК 56'!C86</f>
        <v>Капитальный ремонт автомобильных дорог города Орла на улицах частной жилой застройки: пер. Прядильный</v>
      </c>
      <c r="C340" s="479"/>
      <c r="D340" s="465"/>
      <c r="E340" s="480"/>
      <c r="F340" s="490">
        <f t="shared" si="21"/>
        <v>776</v>
      </c>
      <c r="G340" s="557">
        <f>'по МК 56'!D86/1000</f>
        <v>0.19400000000000001</v>
      </c>
      <c r="H340" s="465">
        <f t="shared" si="19"/>
        <v>1530.9965996999999</v>
      </c>
      <c r="I340" s="468">
        <v>0</v>
      </c>
      <c r="J340" s="468">
        <v>0</v>
      </c>
      <c r="K340" s="468">
        <v>0</v>
      </c>
      <c r="L340" s="465">
        <f>'по МК 56'!E86/1000</f>
        <v>1530.9965996999999</v>
      </c>
      <c r="M340" s="561">
        <v>0</v>
      </c>
      <c r="N340" s="249"/>
      <c r="O340" s="250"/>
    </row>
    <row r="341" spans="2:15" ht="33" x14ac:dyDescent="0.25">
      <c r="B341" s="492" t="str">
        <f>'по МК 56'!C87</f>
        <v>Капитальный ремонт автомобильных дорог города Орла на улицах частной жилой застройки: пер. Локомотивный</v>
      </c>
      <c r="C341" s="479"/>
      <c r="D341" s="465"/>
      <c r="E341" s="480"/>
      <c r="F341" s="490">
        <f t="shared" si="21"/>
        <v>1212</v>
      </c>
      <c r="G341" s="557">
        <f>'по МК 56'!D87/1000</f>
        <v>0.30299999999999999</v>
      </c>
      <c r="H341" s="465">
        <f t="shared" si="19"/>
        <v>2391.1957201499999</v>
      </c>
      <c r="I341" s="468">
        <v>0</v>
      </c>
      <c r="J341" s="468">
        <v>0</v>
      </c>
      <c r="K341" s="468">
        <v>0</v>
      </c>
      <c r="L341" s="465">
        <f>'по МК 56'!E87/1000</f>
        <v>2391.1957201499999</v>
      </c>
      <c r="M341" s="561">
        <v>0</v>
      </c>
      <c r="N341" s="249"/>
      <c r="O341" s="250"/>
    </row>
    <row r="342" spans="2:15" ht="33" x14ac:dyDescent="0.25">
      <c r="B342" s="492" t="str">
        <f>'по МК 56'!C88</f>
        <v>Капитальный ремонт автомобильных дорог города Орла на улицах частной жилой застройки: пер. Вагонный</v>
      </c>
      <c r="C342" s="479"/>
      <c r="D342" s="465"/>
      <c r="E342" s="480"/>
      <c r="F342" s="490">
        <f t="shared" si="21"/>
        <v>716</v>
      </c>
      <c r="G342" s="557">
        <f>'по МК 56'!D88/1000</f>
        <v>0.17899999999999999</v>
      </c>
      <c r="H342" s="465">
        <f t="shared" si="19"/>
        <v>1412.6206039499998</v>
      </c>
      <c r="I342" s="468">
        <v>0</v>
      </c>
      <c r="J342" s="468">
        <v>0</v>
      </c>
      <c r="K342" s="468">
        <v>0</v>
      </c>
      <c r="L342" s="465">
        <f>'по МК 56'!E88/1000+0.00001</f>
        <v>1412.6206039499998</v>
      </c>
      <c r="M342" s="561">
        <v>0</v>
      </c>
      <c r="N342" s="249"/>
      <c r="O342" s="250"/>
    </row>
    <row r="343" spans="2:15" ht="33" x14ac:dyDescent="0.25">
      <c r="B343" s="492" t="str">
        <f>'по МК 56'!C89</f>
        <v>Капитальный ремонт автомобильных дорог города Орла на улицах частной жилой застройки: пер. Бригадный</v>
      </c>
      <c r="C343" s="479"/>
      <c r="D343" s="465"/>
      <c r="E343" s="480"/>
      <c r="F343" s="490">
        <f t="shared" si="21"/>
        <v>852</v>
      </c>
      <c r="G343" s="557">
        <f>'по МК 56'!D89/1000</f>
        <v>0.21299999999999999</v>
      </c>
      <c r="H343" s="465">
        <f t="shared" si="19"/>
        <v>1680.9395656500001</v>
      </c>
      <c r="I343" s="468">
        <v>0</v>
      </c>
      <c r="J343" s="468">
        <v>0</v>
      </c>
      <c r="K343" s="468">
        <v>0</v>
      </c>
      <c r="L343" s="465">
        <f>'по МК 56'!E89/1000</f>
        <v>1680.9395656500001</v>
      </c>
      <c r="M343" s="561">
        <v>0</v>
      </c>
      <c r="N343" s="249"/>
      <c r="O343" s="250"/>
    </row>
    <row r="344" spans="2:15" ht="33" x14ac:dyDescent="0.25">
      <c r="B344" s="492" t="str">
        <f>'по МК 56'!C90</f>
        <v>Капитальный ремонт автомобильных дорог города Орла на улицах частной жилой застройки: пер. Хлебный</v>
      </c>
      <c r="C344" s="479"/>
      <c r="D344" s="465"/>
      <c r="E344" s="480"/>
      <c r="F344" s="490">
        <f t="shared" si="21"/>
        <v>2008</v>
      </c>
      <c r="G344" s="557">
        <f>'по МК 56'!D90/1000</f>
        <v>0.502</v>
      </c>
      <c r="H344" s="465">
        <f t="shared" si="19"/>
        <v>3961.6509950999994</v>
      </c>
      <c r="I344" s="468">
        <v>0</v>
      </c>
      <c r="J344" s="468">
        <v>0</v>
      </c>
      <c r="K344" s="468">
        <v>0</v>
      </c>
      <c r="L344" s="465">
        <f>'по МК 56'!E90/1000</f>
        <v>3961.6509950999994</v>
      </c>
      <c r="M344" s="561">
        <v>0</v>
      </c>
      <c r="N344" s="249"/>
      <c r="O344" s="250"/>
    </row>
    <row r="345" spans="2:15" ht="33" x14ac:dyDescent="0.25">
      <c r="B345" s="492" t="str">
        <f>'по МК 56'!C91</f>
        <v>Капитальный ремонт автомобильных дорог города Орла на улицах частной жилой застройки: пер. Тупиковый</v>
      </c>
      <c r="C345" s="479"/>
      <c r="D345" s="465"/>
      <c r="E345" s="480"/>
      <c r="F345" s="490">
        <f t="shared" si="21"/>
        <v>704</v>
      </c>
      <c r="G345" s="557">
        <f>'по МК 56'!D91/1000</f>
        <v>0.17599999999999999</v>
      </c>
      <c r="H345" s="465">
        <f t="shared" si="19"/>
        <v>1388.9453688000001</v>
      </c>
      <c r="I345" s="468">
        <v>0</v>
      </c>
      <c r="J345" s="468">
        <v>0</v>
      </c>
      <c r="K345" s="468">
        <v>0</v>
      </c>
      <c r="L345" s="465">
        <f>'по МК 56'!E91/1000</f>
        <v>1388.9453688000001</v>
      </c>
      <c r="M345" s="561">
        <v>0</v>
      </c>
      <c r="N345" s="249"/>
      <c r="O345" s="250"/>
    </row>
    <row r="346" spans="2:15" ht="33" x14ac:dyDescent="0.25">
      <c r="B346" s="492" t="str">
        <f>'по МК 56'!C92</f>
        <v xml:space="preserve">Капитальный ремонт автомобильных дорог города Орла на улицах частной жилой застройки: ул. Медведева </v>
      </c>
      <c r="C346" s="479"/>
      <c r="D346" s="465"/>
      <c r="E346" s="480"/>
      <c r="F346" s="490">
        <f t="shared" si="21"/>
        <v>4412</v>
      </c>
      <c r="G346" s="557">
        <f>'по МК 56'!D92/1000</f>
        <v>1.103</v>
      </c>
      <c r="H346" s="465">
        <f t="shared" ref="H346:H351" si="22">SUM(I346:M346)</f>
        <v>8704.5837601499989</v>
      </c>
      <c r="I346" s="468">
        <v>0</v>
      </c>
      <c r="J346" s="468">
        <v>0</v>
      </c>
      <c r="K346" s="468">
        <v>0</v>
      </c>
      <c r="L346" s="465">
        <f>'по МК 56'!E92/1000</f>
        <v>8704.5837601499989</v>
      </c>
      <c r="M346" s="561">
        <v>0</v>
      </c>
      <c r="N346" s="249"/>
      <c r="O346" s="250"/>
    </row>
    <row r="347" spans="2:15" ht="33" x14ac:dyDescent="0.25">
      <c r="B347" s="492" t="str">
        <f>'по МК 56'!C94</f>
        <v>Капитальный ремонт автомобильных дорог города Орла на улицах частной жилой застройки: ул. Ново-Прядильная</v>
      </c>
      <c r="C347" s="479"/>
      <c r="D347" s="465"/>
      <c r="E347" s="480"/>
      <c r="F347" s="490">
        <f t="shared" si="21"/>
        <v>1896</v>
      </c>
      <c r="G347" s="557">
        <f>'по МК 56'!D94/1000</f>
        <v>0.47399999999999998</v>
      </c>
      <c r="H347" s="465">
        <f t="shared" si="22"/>
        <v>3740.6824136999999</v>
      </c>
      <c r="I347" s="468">
        <v>0</v>
      </c>
      <c r="J347" s="468">
        <v>0</v>
      </c>
      <c r="K347" s="468">
        <v>0</v>
      </c>
      <c r="L347" s="465">
        <f>'по МК 56'!E94/1000</f>
        <v>3740.6824136999999</v>
      </c>
      <c r="M347" s="561">
        <v>0</v>
      </c>
      <c r="N347" s="249"/>
      <c r="O347" s="250"/>
    </row>
    <row r="348" spans="2:15" ht="33" x14ac:dyDescent="0.25">
      <c r="B348" s="492" t="str">
        <f>'по МК 56'!C95</f>
        <v>Капитальный ремонт автомобильных дорог города Орла на улицах частной жилой застройки: пер. Пожарный</v>
      </c>
      <c r="C348" s="479"/>
      <c r="D348" s="465"/>
      <c r="E348" s="480"/>
      <c r="F348" s="490">
        <f t="shared" si="21"/>
        <v>872</v>
      </c>
      <c r="G348" s="557">
        <f>'по МК 56'!D95/1000</f>
        <v>0.218</v>
      </c>
      <c r="H348" s="465">
        <f t="shared" si="22"/>
        <v>1720.3982408999998</v>
      </c>
      <c r="I348" s="468">
        <v>0</v>
      </c>
      <c r="J348" s="468">
        <v>0</v>
      </c>
      <c r="K348" s="468">
        <v>0</v>
      </c>
      <c r="L348" s="465">
        <f>'по МК 56'!E95/1000</f>
        <v>1720.3982408999998</v>
      </c>
      <c r="M348" s="561">
        <v>0</v>
      </c>
      <c r="N348" s="249"/>
      <c r="O348" s="250"/>
    </row>
    <row r="349" spans="2:15" ht="33" x14ac:dyDescent="0.25">
      <c r="B349" s="492" t="str">
        <f>'по МК 56'!C96</f>
        <v>Капитальный ремонт автомобильных дорог города Орла на улицах частной жилой застройки: ул. Белинского</v>
      </c>
      <c r="C349" s="479"/>
      <c r="D349" s="465"/>
      <c r="E349" s="480"/>
      <c r="F349" s="490">
        <f t="shared" si="21"/>
        <v>2784</v>
      </c>
      <c r="G349" s="557">
        <f>'по МК 56'!D96/1000</f>
        <v>0.69599999999999995</v>
      </c>
      <c r="H349" s="465">
        <f t="shared" si="22"/>
        <v>5492.647624799999</v>
      </c>
      <c r="I349" s="468">
        <v>0</v>
      </c>
      <c r="J349" s="468">
        <v>0</v>
      </c>
      <c r="K349" s="468">
        <v>0</v>
      </c>
      <c r="L349" s="465">
        <f>'по МК 56'!E96/1000+0.00001</f>
        <v>5492.647624799999</v>
      </c>
      <c r="M349" s="561">
        <v>0</v>
      </c>
      <c r="N349" s="249"/>
      <c r="O349" s="250"/>
    </row>
    <row r="350" spans="2:15" ht="33" x14ac:dyDescent="0.25">
      <c r="B350" s="492" t="str">
        <f>'по МК 56'!C97</f>
        <v>Капитальный ремонт автомобильных дорог города Орла на улицах частной жилой застройки: пер. Культурный</v>
      </c>
      <c r="C350" s="479"/>
      <c r="D350" s="465"/>
      <c r="E350" s="480"/>
      <c r="F350" s="490">
        <f t="shared" si="21"/>
        <v>2924</v>
      </c>
      <c r="G350" s="557">
        <f>'по МК 56'!D97/1000</f>
        <v>0.73099999999999998</v>
      </c>
      <c r="H350" s="465">
        <f t="shared" si="22"/>
        <v>5768.8583215499993</v>
      </c>
      <c r="I350" s="468">
        <v>0</v>
      </c>
      <c r="J350" s="468">
        <v>0</v>
      </c>
      <c r="K350" s="468">
        <v>0</v>
      </c>
      <c r="L350" s="465">
        <f>'по МК 56'!E97/1000</f>
        <v>5768.8583215499993</v>
      </c>
      <c r="M350" s="561">
        <v>0</v>
      </c>
      <c r="N350" s="249"/>
      <c r="O350" s="250"/>
    </row>
    <row r="351" spans="2:15" ht="33" x14ac:dyDescent="0.25">
      <c r="B351" s="492" t="str">
        <f>'по МК 56'!C98</f>
        <v>Капитальный ремонт автомобильных дорог города Орла на улицах частной жилой застройки: ул.Заводская</v>
      </c>
      <c r="C351" s="479"/>
      <c r="D351" s="465"/>
      <c r="E351" s="480"/>
      <c r="F351" s="490">
        <f t="shared" si="21"/>
        <v>3036</v>
      </c>
      <c r="G351" s="557">
        <f>'по МК 56'!D98/1000</f>
        <v>0.75900000000000001</v>
      </c>
      <c r="H351" s="465">
        <f t="shared" si="22"/>
        <v>5989.8269029499997</v>
      </c>
      <c r="I351" s="468">
        <v>0</v>
      </c>
      <c r="J351" s="468">
        <v>0</v>
      </c>
      <c r="K351" s="468">
        <v>0</v>
      </c>
      <c r="L351" s="465">
        <f>'по МК 56'!E98/1000</f>
        <v>5989.8269029499997</v>
      </c>
      <c r="M351" s="561">
        <v>0</v>
      </c>
      <c r="N351" s="249"/>
      <c r="O351" s="250"/>
    </row>
    <row r="352" spans="2:15" ht="33" x14ac:dyDescent="0.25">
      <c r="B352" s="492" t="str">
        <f>'по МК 56'!C99</f>
        <v>Капитальный ремонт автомобильных дорог города Орла на улицах частной жилой застройки: ул. 1 Пушкарная</v>
      </c>
      <c r="C352" s="479"/>
      <c r="D352" s="465"/>
      <c r="E352" s="480"/>
      <c r="F352" s="490">
        <f t="shared" si="21"/>
        <v>6000</v>
      </c>
      <c r="G352" s="557">
        <f>'по МК 56'!D99/1000</f>
        <v>1.5</v>
      </c>
      <c r="H352" s="465">
        <f t="shared" ref="H352:H396" si="23">SUM(I352:M352)</f>
        <v>11837.602574999999</v>
      </c>
      <c r="I352" s="468">
        <v>0</v>
      </c>
      <c r="J352" s="468">
        <v>0</v>
      </c>
      <c r="K352" s="468">
        <v>0</v>
      </c>
      <c r="L352" s="465">
        <f>'по МК 56'!E99/1000</f>
        <v>11837.602574999999</v>
      </c>
      <c r="M352" s="561">
        <v>0</v>
      </c>
      <c r="N352" s="249"/>
      <c r="O352" s="250"/>
    </row>
    <row r="353" spans="2:15" ht="33" x14ac:dyDescent="0.25">
      <c r="B353" s="492" t="str">
        <f>'по МК 56'!C100</f>
        <v>Капитальный ремонт автомобильных дорог города Орла на улицах частной жилой застройки: ул. 2 Пушкарная</v>
      </c>
      <c r="C353" s="479"/>
      <c r="D353" s="465"/>
      <c r="E353" s="480"/>
      <c r="F353" s="490">
        <f t="shared" si="21"/>
        <v>4800</v>
      </c>
      <c r="G353" s="557">
        <f>'по МК 56'!D100/1000</f>
        <v>1.2</v>
      </c>
      <c r="H353" s="465">
        <f t="shared" si="23"/>
        <v>9470.0820600000006</v>
      </c>
      <c r="I353" s="468">
        <v>0</v>
      </c>
      <c r="J353" s="468">
        <v>0</v>
      </c>
      <c r="K353" s="468">
        <v>0</v>
      </c>
      <c r="L353" s="465">
        <f>'по МК 56'!E100/1000</f>
        <v>9470.0820600000006</v>
      </c>
      <c r="M353" s="561">
        <v>0</v>
      </c>
      <c r="N353" s="249"/>
      <c r="O353" s="250"/>
    </row>
    <row r="354" spans="2:15" ht="33" x14ac:dyDescent="0.25">
      <c r="B354" s="492" t="str">
        <f>'по МК 56'!C101</f>
        <v>Капитальный ремонт автомобильных дорог города Орла на улицах частной жилой застройки: ул. Зеленый Берег</v>
      </c>
      <c r="C354" s="479"/>
      <c r="D354" s="465"/>
      <c r="E354" s="480"/>
      <c r="F354" s="490">
        <f t="shared" si="21"/>
        <v>5600</v>
      </c>
      <c r="G354" s="557">
        <f>'по МК 56'!D101/1000</f>
        <v>1.4</v>
      </c>
      <c r="H354" s="465">
        <f t="shared" si="23"/>
        <v>11048.429069999998</v>
      </c>
      <c r="I354" s="468">
        <v>0</v>
      </c>
      <c r="J354" s="468">
        <v>0</v>
      </c>
      <c r="K354" s="468">
        <v>0</v>
      </c>
      <c r="L354" s="465">
        <f>'по МК 56'!E101/1000</f>
        <v>11048.429069999998</v>
      </c>
      <c r="M354" s="561">
        <v>0</v>
      </c>
      <c r="N354" s="249"/>
      <c r="O354" s="250"/>
    </row>
    <row r="355" spans="2:15" ht="33" x14ac:dyDescent="0.25">
      <c r="B355" s="492" t="str">
        <f>'по МК 56'!C102</f>
        <v>Капитальный ремонт автомобильных дорог города Орла на улицах частной жилой застройки: наб. Есенина</v>
      </c>
      <c r="C355" s="479"/>
      <c r="D355" s="465"/>
      <c r="E355" s="480"/>
      <c r="F355" s="490">
        <f t="shared" si="21"/>
        <v>3244</v>
      </c>
      <c r="G355" s="557">
        <f>'по МК 56'!D102/1000</f>
        <v>0.81100000000000005</v>
      </c>
      <c r="H355" s="465">
        <f t="shared" si="23"/>
        <v>6400.1971055500007</v>
      </c>
      <c r="I355" s="468">
        <v>0</v>
      </c>
      <c r="J355" s="468">
        <v>0</v>
      </c>
      <c r="K355" s="468">
        <v>0</v>
      </c>
      <c r="L355" s="465">
        <f>'по МК 56'!E102/1000</f>
        <v>6400.1971055500007</v>
      </c>
      <c r="M355" s="561">
        <v>0</v>
      </c>
      <c r="N355" s="249"/>
      <c r="O355" s="250"/>
    </row>
    <row r="356" spans="2:15" ht="33" x14ac:dyDescent="0.25">
      <c r="B356" s="492" t="str">
        <f>'по МК 56'!C103</f>
        <v>Капитальный ремонт автомобильных дорог города Орла на улицах частной жилой застройки: ул. Чапаева</v>
      </c>
      <c r="C356" s="479"/>
      <c r="D356" s="465"/>
      <c r="E356" s="480"/>
      <c r="F356" s="490">
        <f t="shared" si="21"/>
        <v>4400</v>
      </c>
      <c r="G356" s="557">
        <f>'по МК 56'!D103/1000</f>
        <v>1.1000000000000001</v>
      </c>
      <c r="H356" s="465">
        <f t="shared" si="23"/>
        <v>8680.908555</v>
      </c>
      <c r="I356" s="468">
        <v>0</v>
      </c>
      <c r="J356" s="468">
        <v>0</v>
      </c>
      <c r="K356" s="468">
        <v>0</v>
      </c>
      <c r="L356" s="465">
        <f>'по МК 56'!E103/1000</f>
        <v>8680.908555</v>
      </c>
      <c r="M356" s="561">
        <v>0</v>
      </c>
      <c r="N356" s="249"/>
      <c r="O356" s="250"/>
    </row>
    <row r="357" spans="2:15" ht="33" x14ac:dyDescent="0.25">
      <c r="B357" s="492" t="str">
        <f>'по МК 56'!C104</f>
        <v>Капитальный ремонт автомобильных дорог города Орла на улицах частной жилой застройки:ул. Садово-Пушкарная</v>
      </c>
      <c r="C357" s="479"/>
      <c r="D357" s="465"/>
      <c r="E357" s="480"/>
      <c r="F357" s="490">
        <f t="shared" si="21"/>
        <v>6000</v>
      </c>
      <c r="G357" s="557">
        <f>'по МК 56'!D104/1000</f>
        <v>1.5</v>
      </c>
      <c r="H357" s="465">
        <f t="shared" si="23"/>
        <v>17756.403862499996</v>
      </c>
      <c r="I357" s="468">
        <v>0</v>
      </c>
      <c r="J357" s="468">
        <v>0</v>
      </c>
      <c r="K357" s="468">
        <v>0</v>
      </c>
      <c r="L357" s="465">
        <f>'по МК 56'!E104/1000</f>
        <v>17756.403862499996</v>
      </c>
      <c r="M357" s="561">
        <v>0</v>
      </c>
      <c r="N357" s="249"/>
      <c r="O357" s="250"/>
    </row>
    <row r="358" spans="2:15" ht="33" x14ac:dyDescent="0.25">
      <c r="B358" s="492" t="str">
        <f>'по МК 56'!C105</f>
        <v>Капитальный ремонт автомобильных дорог города Орла на улицах частной жилой застройки: ул. Панчука</v>
      </c>
      <c r="C358" s="479"/>
      <c r="D358" s="465"/>
      <c r="E358" s="480"/>
      <c r="F358" s="490">
        <f t="shared" si="21"/>
        <v>5600</v>
      </c>
      <c r="G358" s="557">
        <f>'по МК 56'!D105/1000</f>
        <v>1.4</v>
      </c>
      <c r="H358" s="465">
        <f t="shared" si="23"/>
        <v>16572.643604999997</v>
      </c>
      <c r="I358" s="468">
        <v>0</v>
      </c>
      <c r="J358" s="468">
        <v>0</v>
      </c>
      <c r="K358" s="468">
        <v>0</v>
      </c>
      <c r="L358" s="465">
        <f>'по МК 56'!E105/1000</f>
        <v>16572.643604999997</v>
      </c>
      <c r="M358" s="561">
        <v>0</v>
      </c>
      <c r="N358" s="249"/>
      <c r="O358" s="250"/>
    </row>
    <row r="359" spans="2:15" ht="33" x14ac:dyDescent="0.25">
      <c r="B359" s="492" t="str">
        <f>'по МК 56'!C106</f>
        <v>Капитальный ремонт автомобильных дорог города Орла на улицах частной жилой застройки: ул. Достоевского</v>
      </c>
      <c r="C359" s="479"/>
      <c r="D359" s="465"/>
      <c r="E359" s="480"/>
      <c r="F359" s="490">
        <f t="shared" si="21"/>
        <v>6000</v>
      </c>
      <c r="G359" s="557">
        <f>'по МК 56'!D106/1000</f>
        <v>1.5</v>
      </c>
      <c r="H359" s="465">
        <f t="shared" si="23"/>
        <v>11837.602574999999</v>
      </c>
      <c r="I359" s="468">
        <v>0</v>
      </c>
      <c r="J359" s="468">
        <v>0</v>
      </c>
      <c r="K359" s="468">
        <v>0</v>
      </c>
      <c r="L359" s="465">
        <f>'по МК 56'!E106/1000</f>
        <v>11837.602574999999</v>
      </c>
      <c r="M359" s="561">
        <v>0</v>
      </c>
      <c r="N359" s="249"/>
      <c r="O359" s="250"/>
    </row>
    <row r="360" spans="2:15" ht="33" x14ac:dyDescent="0.25">
      <c r="B360" s="492" t="str">
        <f>'по МК 56'!C107</f>
        <v>Капитальный ремонт автомобильных дорог города Орла на улицах частной жилой застройки: ул. Циолковского</v>
      </c>
      <c r="C360" s="479"/>
      <c r="D360" s="465"/>
      <c r="E360" s="480"/>
      <c r="F360" s="490">
        <f t="shared" si="21"/>
        <v>4400</v>
      </c>
      <c r="G360" s="557">
        <f>'по МК 56'!D107/1000</f>
        <v>1.1000000000000001</v>
      </c>
      <c r="H360" s="465">
        <f t="shared" si="23"/>
        <v>8680.908555</v>
      </c>
      <c r="I360" s="468">
        <v>0</v>
      </c>
      <c r="J360" s="468">
        <v>0</v>
      </c>
      <c r="K360" s="468">
        <v>0</v>
      </c>
      <c r="L360" s="465">
        <f>'по МК 56'!E107/1000</f>
        <v>8680.908555</v>
      </c>
      <c r="M360" s="561">
        <v>0</v>
      </c>
      <c r="N360" s="249"/>
      <c r="O360" s="250"/>
    </row>
    <row r="361" spans="2:15" ht="33" x14ac:dyDescent="0.25">
      <c r="B361" s="492" t="str">
        <f>'по МК 56'!C108</f>
        <v>Капитальный ремонт автомобильных дорог города Орла на улицах частной жилой застройки: ул. Андреева</v>
      </c>
      <c r="C361" s="479"/>
      <c r="D361" s="465"/>
      <c r="E361" s="480"/>
      <c r="F361" s="490">
        <f t="shared" si="21"/>
        <v>2124</v>
      </c>
      <c r="G361" s="557">
        <f>'по МК 56'!D108/1000</f>
        <v>0.53100000000000003</v>
      </c>
      <c r="H361" s="465">
        <f t="shared" si="23"/>
        <v>6285.7669673250002</v>
      </c>
      <c r="I361" s="468">
        <v>0</v>
      </c>
      <c r="J361" s="468">
        <v>0</v>
      </c>
      <c r="K361" s="468">
        <v>0</v>
      </c>
      <c r="L361" s="465">
        <f>'по МК 56'!E108/1000</f>
        <v>6285.7669673250002</v>
      </c>
      <c r="M361" s="561">
        <v>0</v>
      </c>
      <c r="N361" s="249"/>
      <c r="O361" s="250"/>
    </row>
    <row r="362" spans="2:15" ht="33" x14ac:dyDescent="0.25">
      <c r="B362" s="492" t="str">
        <f>'по МК 56'!C109</f>
        <v>Капитальный ремонт автомобильных дорог города Орла на улицах частной жилой застройки: ул. Спивака</v>
      </c>
      <c r="C362" s="479"/>
      <c r="D362" s="465"/>
      <c r="E362" s="480"/>
      <c r="F362" s="490">
        <f t="shared" si="21"/>
        <v>5600</v>
      </c>
      <c r="G362" s="557">
        <f>'по МК 56'!D109/1000</f>
        <v>1.4</v>
      </c>
      <c r="H362" s="465">
        <f t="shared" si="23"/>
        <v>16572.643604999997</v>
      </c>
      <c r="I362" s="468">
        <v>0</v>
      </c>
      <c r="J362" s="468">
        <v>0</v>
      </c>
      <c r="K362" s="468">
        <v>0</v>
      </c>
      <c r="L362" s="465">
        <f>'по МК 56'!E109/1000</f>
        <v>16572.643604999997</v>
      </c>
      <c r="M362" s="561">
        <v>0</v>
      </c>
      <c r="N362" s="249"/>
      <c r="O362" s="250"/>
    </row>
    <row r="363" spans="2:15" ht="33" x14ac:dyDescent="0.25">
      <c r="B363" s="492" t="str">
        <f>'по МК 56'!C110</f>
        <v>Капитальный ремонт автомобильных дорог города Орла на улицах частной жилой застройки: ул. Чайкиной</v>
      </c>
      <c r="C363" s="479"/>
      <c r="D363" s="465"/>
      <c r="E363" s="480"/>
      <c r="F363" s="490">
        <f t="shared" si="21"/>
        <v>1432</v>
      </c>
      <c r="G363" s="557">
        <f>'по МК 56'!D110/1000</f>
        <v>0.35799999999999998</v>
      </c>
      <c r="H363" s="465">
        <f t="shared" si="23"/>
        <v>2825.2411478999998</v>
      </c>
      <c r="I363" s="468">
        <v>0</v>
      </c>
      <c r="J363" s="468">
        <v>0</v>
      </c>
      <c r="K363" s="468">
        <v>0</v>
      </c>
      <c r="L363" s="465">
        <f>'по МК 56'!E110/1000</f>
        <v>2825.2411478999998</v>
      </c>
      <c r="M363" s="561">
        <v>0</v>
      </c>
      <c r="N363" s="249"/>
      <c r="O363" s="250"/>
    </row>
    <row r="364" spans="2:15" ht="33" x14ac:dyDescent="0.25">
      <c r="B364" s="492" t="str">
        <f>'по МК 56'!C111</f>
        <v>Капитальный ремонт автомобильных дорог города Орла на улицах частной жилой застройки: ул. Земнухова</v>
      </c>
      <c r="C364" s="479"/>
      <c r="D364" s="465"/>
      <c r="E364" s="480"/>
      <c r="F364" s="490">
        <f t="shared" si="21"/>
        <v>1464</v>
      </c>
      <c r="G364" s="557">
        <f>'по МК 56'!D111/1000</f>
        <v>0.36599999999999999</v>
      </c>
      <c r="H364" s="465">
        <f t="shared" si="23"/>
        <v>2888.3750282999999</v>
      </c>
      <c r="I364" s="468">
        <v>0</v>
      </c>
      <c r="J364" s="468">
        <v>0</v>
      </c>
      <c r="K364" s="468">
        <v>0</v>
      </c>
      <c r="L364" s="465">
        <f>'по МК 56'!E111/1000</f>
        <v>2888.3750282999999</v>
      </c>
      <c r="M364" s="561">
        <v>0</v>
      </c>
      <c r="N364" s="249"/>
      <c r="O364" s="250"/>
    </row>
    <row r="365" spans="2:15" ht="33" x14ac:dyDescent="0.25">
      <c r="B365" s="492" t="str">
        <f>'по МК 56'!C112</f>
        <v>Капитальный ремонт автомобильных дорог города Орла на улицах частной жилой застройки: ул. Кошевого</v>
      </c>
      <c r="C365" s="479"/>
      <c r="D365" s="465"/>
      <c r="E365" s="480"/>
      <c r="F365" s="490">
        <f t="shared" si="21"/>
        <v>1480</v>
      </c>
      <c r="G365" s="557">
        <f>'по МК 56'!D112/1000</f>
        <v>0.37</v>
      </c>
      <c r="H365" s="465">
        <f t="shared" si="23"/>
        <v>2919.9419684999998</v>
      </c>
      <c r="I365" s="468">
        <v>0</v>
      </c>
      <c r="J365" s="468">
        <v>0</v>
      </c>
      <c r="K365" s="468">
        <v>0</v>
      </c>
      <c r="L365" s="465">
        <f>'по МК 56'!E112/1000</f>
        <v>2919.9419684999998</v>
      </c>
      <c r="M365" s="561">
        <v>0</v>
      </c>
      <c r="N365" s="249"/>
      <c r="O365" s="250"/>
    </row>
    <row r="366" spans="2:15" ht="33" x14ac:dyDescent="0.25">
      <c r="B366" s="492" t="str">
        <f>'по МК 56'!C113</f>
        <v>Капитальный ремонт автомобильных дорог города Орла на улицах частной жилой застройки: ул. Тюленина</v>
      </c>
      <c r="C366" s="479"/>
      <c r="D366" s="465"/>
      <c r="E366" s="480"/>
      <c r="F366" s="490">
        <f t="shared" si="21"/>
        <v>1844</v>
      </c>
      <c r="G366" s="557">
        <f>'по МК 56'!D113/1000</f>
        <v>0.46100000000000002</v>
      </c>
      <c r="H366" s="465">
        <f t="shared" si="23"/>
        <v>3638.0898580499997</v>
      </c>
      <c r="I366" s="468">
        <v>0</v>
      </c>
      <c r="J366" s="468">
        <v>0</v>
      </c>
      <c r="K366" s="468">
        <v>0</v>
      </c>
      <c r="L366" s="465">
        <f>'по МК 56'!E113/1000</f>
        <v>3638.0898580499997</v>
      </c>
      <c r="M366" s="561">
        <v>0</v>
      </c>
      <c r="N366" s="249"/>
      <c r="O366" s="250"/>
    </row>
    <row r="367" spans="2:15" ht="33" x14ac:dyDescent="0.25">
      <c r="B367" s="492" t="str">
        <f>'по МК 56'!C114</f>
        <v>Капитальный ремонт автомобильных дорог города Орла на улицах частной жилой застройки: ул. Громовой</v>
      </c>
      <c r="C367" s="479"/>
      <c r="D367" s="465"/>
      <c r="E367" s="480"/>
      <c r="F367" s="490">
        <f t="shared" si="21"/>
        <v>1152</v>
      </c>
      <c r="G367" s="557">
        <f>'по МК 56'!D114/1000</f>
        <v>0.28799999999999998</v>
      </c>
      <c r="H367" s="465">
        <f t="shared" si="23"/>
        <v>2272.8197144000001</v>
      </c>
      <c r="I367" s="468">
        <v>0</v>
      </c>
      <c r="J367" s="468">
        <v>0</v>
      </c>
      <c r="K367" s="468">
        <v>0</v>
      </c>
      <c r="L367" s="465">
        <f>'по МК 56'!E114/1000</f>
        <v>2272.8197144000001</v>
      </c>
      <c r="M367" s="561">
        <v>0</v>
      </c>
      <c r="N367" s="249"/>
      <c r="O367" s="250"/>
    </row>
    <row r="368" spans="2:15" ht="33" x14ac:dyDescent="0.25">
      <c r="B368" s="492" t="str">
        <f>'по МК 56'!C115</f>
        <v>Капитальный ремонт автомобильных дорог города Орла на улицах частной жилой застройки: пер. Шевцовой</v>
      </c>
      <c r="C368" s="479"/>
      <c r="D368" s="465"/>
      <c r="E368" s="480"/>
      <c r="F368" s="490">
        <f t="shared" si="21"/>
        <v>1372</v>
      </c>
      <c r="G368" s="557">
        <f>'по МК 56'!D115/1000</f>
        <v>0.34300000000000003</v>
      </c>
      <c r="H368" s="465">
        <f t="shared" si="23"/>
        <v>2706.8651221500004</v>
      </c>
      <c r="I368" s="468">
        <v>0</v>
      </c>
      <c r="J368" s="468">
        <v>0</v>
      </c>
      <c r="K368" s="468">
        <v>0</v>
      </c>
      <c r="L368" s="465">
        <f>'по МК 56'!E115/1000</f>
        <v>2706.8651221500004</v>
      </c>
      <c r="M368" s="561">
        <v>0</v>
      </c>
      <c r="N368" s="249"/>
      <c r="O368" s="250"/>
    </row>
    <row r="369" spans="2:15" ht="33" x14ac:dyDescent="0.25">
      <c r="B369" s="492" t="str">
        <f>'по МК 56'!C116</f>
        <v xml:space="preserve">Капитальный ремонт автомобильных дорог города Орла на улицах частной жилой застройки: ул. Островского </v>
      </c>
      <c r="C369" s="479"/>
      <c r="D369" s="465"/>
      <c r="E369" s="480"/>
      <c r="F369" s="490">
        <f t="shared" si="21"/>
        <v>3320</v>
      </c>
      <c r="G369" s="557">
        <f>'по МК 56'!D116/1000</f>
        <v>0.83</v>
      </c>
      <c r="H369" s="465">
        <f t="shared" si="23"/>
        <v>6550.1400914999995</v>
      </c>
      <c r="I369" s="468">
        <v>0</v>
      </c>
      <c r="J369" s="468">
        <v>0</v>
      </c>
      <c r="K369" s="468">
        <v>0</v>
      </c>
      <c r="L369" s="465">
        <f>'по МК 56'!E116/1000</f>
        <v>6550.1400914999995</v>
      </c>
      <c r="M369" s="561">
        <v>0</v>
      </c>
      <c r="N369" s="249"/>
      <c r="O369" s="250"/>
    </row>
    <row r="370" spans="2:15" ht="33" x14ac:dyDescent="0.25">
      <c r="B370" s="492" t="str">
        <f>'по МК 56'!C117</f>
        <v>Капитальный ремонт автомобильных дорог города Орла на улицах частной жилой застройки: ул. Моховая</v>
      </c>
      <c r="C370" s="479"/>
      <c r="D370" s="465"/>
      <c r="E370" s="480"/>
      <c r="F370" s="490">
        <f t="shared" si="21"/>
        <v>3312</v>
      </c>
      <c r="G370" s="557">
        <f>'по МК 56'!D117/1000</f>
        <v>0.82799999999999996</v>
      </c>
      <c r="H370" s="465">
        <f t="shared" si="23"/>
        <v>6534.3566413999988</v>
      </c>
      <c r="I370" s="468">
        <v>0</v>
      </c>
      <c r="J370" s="468">
        <v>0</v>
      </c>
      <c r="K370" s="468">
        <v>0</v>
      </c>
      <c r="L370" s="465">
        <f>'по МК 56'!E117/1000</f>
        <v>6534.3566413999988</v>
      </c>
      <c r="M370" s="561">
        <v>0</v>
      </c>
      <c r="N370" s="249"/>
      <c r="O370" s="250"/>
    </row>
    <row r="371" spans="2:15" ht="33" x14ac:dyDescent="0.25">
      <c r="B371" s="492" t="str">
        <f>'по МК 56'!C118</f>
        <v>Капитальный ремонт автомобильных дорог города Орла на улицах частной жилой застройки: ул. Калужская</v>
      </c>
      <c r="C371" s="479"/>
      <c r="D371" s="465"/>
      <c r="E371" s="480"/>
      <c r="F371" s="490">
        <f t="shared" si="21"/>
        <v>4400</v>
      </c>
      <c r="G371" s="557">
        <f>'по МК 56'!D118/1000</f>
        <v>1.1000000000000001</v>
      </c>
      <c r="H371" s="465">
        <f t="shared" si="23"/>
        <v>8680.908555</v>
      </c>
      <c r="I371" s="468">
        <v>0</v>
      </c>
      <c r="J371" s="468">
        <v>0</v>
      </c>
      <c r="K371" s="468">
        <v>0</v>
      </c>
      <c r="L371" s="465">
        <f>'по МК 56'!E118/1000</f>
        <v>8680.908555</v>
      </c>
      <c r="M371" s="561">
        <v>0</v>
      </c>
      <c r="N371" s="249"/>
      <c r="O371" s="250"/>
    </row>
    <row r="372" spans="2:15" ht="33" x14ac:dyDescent="0.25">
      <c r="B372" s="492" t="str">
        <f>'по МК 56'!C119</f>
        <v>Капитальный ремонт автомобильных дорог города Орла на улицах частной жилой застройки: ул. Восточная</v>
      </c>
      <c r="C372" s="479"/>
      <c r="D372" s="465"/>
      <c r="E372" s="480"/>
      <c r="F372" s="490">
        <f t="shared" si="21"/>
        <v>3304</v>
      </c>
      <c r="G372" s="557">
        <f>'по МК 56'!D119/1000</f>
        <v>0.82599999999999996</v>
      </c>
      <c r="H372" s="465">
        <f t="shared" si="23"/>
        <v>6518.5731513000001</v>
      </c>
      <c r="I372" s="468">
        <v>0</v>
      </c>
      <c r="J372" s="468">
        <v>0</v>
      </c>
      <c r="K372" s="468">
        <v>0</v>
      </c>
      <c r="L372" s="465">
        <f>'по МК 56'!E119/1000</f>
        <v>6518.5731513000001</v>
      </c>
      <c r="M372" s="561">
        <v>0</v>
      </c>
      <c r="N372" s="249"/>
      <c r="O372" s="250"/>
    </row>
    <row r="373" spans="2:15" ht="33" x14ac:dyDescent="0.25">
      <c r="B373" s="492" t="str">
        <f>'по МК 56'!C120</f>
        <v>Капитальный ремонт автомобильных дорог города Орла на улицах частной жилой застройки: ул. Ольховецкая</v>
      </c>
      <c r="C373" s="479"/>
      <c r="D373" s="465"/>
      <c r="E373" s="480"/>
      <c r="F373" s="490">
        <f t="shared" si="21"/>
        <v>2620</v>
      </c>
      <c r="G373" s="557">
        <f>'по МК 56'!D120/1000</f>
        <v>0.65500000000000003</v>
      </c>
      <c r="H373" s="465">
        <f t="shared" si="23"/>
        <v>5169.0864177499989</v>
      </c>
      <c r="I373" s="468">
        <v>0</v>
      </c>
      <c r="J373" s="468">
        <v>0</v>
      </c>
      <c r="K373" s="468">
        <v>0</v>
      </c>
      <c r="L373" s="465">
        <f>'по МК 56'!E120/1000-0.00002</f>
        <v>5169.0864177499989</v>
      </c>
      <c r="M373" s="561">
        <v>0</v>
      </c>
      <c r="N373" s="249"/>
      <c r="O373" s="250"/>
    </row>
    <row r="374" spans="2:15" ht="33" x14ac:dyDescent="0.25">
      <c r="B374" s="492" t="str">
        <f>'по МК 56'!C121</f>
        <v>Капитальный ремонт автомобильных дорог города Орла на улицах частной жилой застройки: ул. Краснозоренская</v>
      </c>
      <c r="C374" s="479"/>
      <c r="D374" s="465"/>
      <c r="E374" s="480"/>
      <c r="F374" s="490">
        <f t="shared" si="21"/>
        <v>3412</v>
      </c>
      <c r="G374" s="557">
        <f>'по МК 56'!D121/1000</f>
        <v>0.85299999999999998</v>
      </c>
      <c r="H374" s="465">
        <f t="shared" si="23"/>
        <v>6731.649997649999</v>
      </c>
      <c r="I374" s="468">
        <v>0</v>
      </c>
      <c r="J374" s="468">
        <v>0</v>
      </c>
      <c r="K374" s="468">
        <v>0</v>
      </c>
      <c r="L374" s="465">
        <f>'по МК 56'!E121/1000</f>
        <v>6731.649997649999</v>
      </c>
      <c r="M374" s="561">
        <v>0</v>
      </c>
      <c r="N374" s="249"/>
      <c r="O374" s="250"/>
    </row>
    <row r="375" spans="2:15" ht="33" x14ac:dyDescent="0.25">
      <c r="B375" s="492" t="str">
        <f>'по МК 56'!C122</f>
        <v>Капитальный ремонт автомобильных дорог города Орла на улицах частной жилой застройки: ул. Придорожная</v>
      </c>
      <c r="C375" s="479"/>
      <c r="D375" s="465"/>
      <c r="E375" s="480"/>
      <c r="F375" s="490">
        <f t="shared" si="21"/>
        <v>1300</v>
      </c>
      <c r="G375" s="557">
        <f>'по МК 56'!D122/1000</f>
        <v>0.32500000000000001</v>
      </c>
      <c r="H375" s="465">
        <f t="shared" si="23"/>
        <v>2564.8138912499999</v>
      </c>
      <c r="I375" s="468">
        <v>0</v>
      </c>
      <c r="J375" s="468">
        <v>0</v>
      </c>
      <c r="K375" s="468">
        <v>0</v>
      </c>
      <c r="L375" s="465">
        <f>'по МК 56'!E122/1000</f>
        <v>2564.8138912499999</v>
      </c>
      <c r="M375" s="561">
        <v>0</v>
      </c>
      <c r="N375" s="249"/>
      <c r="O375" s="250"/>
    </row>
    <row r="376" spans="2:15" ht="33" x14ac:dyDescent="0.25">
      <c r="B376" s="492" t="str">
        <f>'по МК 56'!C123</f>
        <v>Капитальный ремонт автомобильных дорог города Орла на улицах частной жилой застройки: пер. Лебединый</v>
      </c>
      <c r="C376" s="479"/>
      <c r="D376" s="465"/>
      <c r="E376" s="480"/>
      <c r="F376" s="490">
        <f t="shared" si="21"/>
        <v>428</v>
      </c>
      <c r="G376" s="557">
        <f>'по МК 56'!D123/1000</f>
        <v>0.107</v>
      </c>
      <c r="H376" s="465">
        <f t="shared" si="23"/>
        <v>844.41565034999985</v>
      </c>
      <c r="I376" s="468">
        <v>0</v>
      </c>
      <c r="J376" s="468">
        <v>0</v>
      </c>
      <c r="K376" s="468">
        <v>0</v>
      </c>
      <c r="L376" s="465">
        <f>'по МК 56'!E123/1000</f>
        <v>844.41565034999985</v>
      </c>
      <c r="M376" s="561">
        <v>0</v>
      </c>
      <c r="N376" s="249"/>
      <c r="O376" s="250"/>
    </row>
    <row r="377" spans="2:15" ht="33" x14ac:dyDescent="0.25">
      <c r="B377" s="492" t="str">
        <f>'по МК 56'!C124</f>
        <v>Капитальный ремонт автомобильных дорог города Орла на улицах частной жилой застройки: ул. Мебельная</v>
      </c>
      <c r="C377" s="479"/>
      <c r="D377" s="465"/>
      <c r="E377" s="480"/>
      <c r="F377" s="490">
        <f t="shared" si="21"/>
        <v>884</v>
      </c>
      <c r="G377" s="557">
        <f>'по МК 56'!D124/1000</f>
        <v>0.221</v>
      </c>
      <c r="H377" s="465">
        <f t="shared" si="23"/>
        <v>1744.0734360499998</v>
      </c>
      <c r="I377" s="468">
        <v>0</v>
      </c>
      <c r="J377" s="468">
        <v>0</v>
      </c>
      <c r="K377" s="468">
        <v>0</v>
      </c>
      <c r="L377" s="465">
        <f>'по МК 56'!E124/1000-0.00001</f>
        <v>1744.0734360499998</v>
      </c>
      <c r="M377" s="561">
        <v>0</v>
      </c>
      <c r="N377" s="249"/>
      <c r="O377" s="250"/>
    </row>
    <row r="378" spans="2:15" ht="33" x14ac:dyDescent="0.25">
      <c r="B378" s="492" t="str">
        <f>'по МК 56'!C125</f>
        <v>Капитальный ремонт автомобильных дорог города Орла на улицах частной жилой застройки: пер. Краснозоренский</v>
      </c>
      <c r="C378" s="479"/>
      <c r="D378" s="465"/>
      <c r="E378" s="480"/>
      <c r="F378" s="490">
        <f t="shared" si="21"/>
        <v>880</v>
      </c>
      <c r="G378" s="557">
        <f>'по МК 56'!D125/1000</f>
        <v>0.22</v>
      </c>
      <c r="H378" s="465">
        <f t="shared" si="23"/>
        <v>1736.181711</v>
      </c>
      <c r="I378" s="468">
        <v>0</v>
      </c>
      <c r="J378" s="468">
        <v>0</v>
      </c>
      <c r="K378" s="468">
        <v>0</v>
      </c>
      <c r="L378" s="465">
        <f>'по МК 56'!E125/1000</f>
        <v>1736.181711</v>
      </c>
      <c r="M378" s="561">
        <v>0</v>
      </c>
      <c r="N378" s="249"/>
      <c r="O378" s="250"/>
    </row>
    <row r="379" spans="2:15" ht="33" x14ac:dyDescent="0.25">
      <c r="B379" s="492" t="str">
        <f>'по МК 56'!C126</f>
        <v>Капитальный ремонт автомобильных дорог города Орла на улицах частной жилой застройки: пер. Столярный</v>
      </c>
      <c r="C379" s="479"/>
      <c r="D379" s="465"/>
      <c r="E379" s="480"/>
      <c r="F379" s="490">
        <f t="shared" si="21"/>
        <v>480</v>
      </c>
      <c r="G379" s="557">
        <f>'по МК 56'!D126/1000</f>
        <v>0.12</v>
      </c>
      <c r="H379" s="465">
        <f t="shared" si="23"/>
        <v>947.00818100000004</v>
      </c>
      <c r="I379" s="468">
        <v>0</v>
      </c>
      <c r="J379" s="468">
        <v>0</v>
      </c>
      <c r="K379" s="468">
        <v>0</v>
      </c>
      <c r="L379" s="465">
        <f>'по МК 56'!E126/1000-0.000015</f>
        <v>947.00818100000004</v>
      </c>
      <c r="M379" s="561">
        <v>0</v>
      </c>
      <c r="N379" s="249"/>
      <c r="O379" s="250"/>
    </row>
    <row r="380" spans="2:15" ht="33" x14ac:dyDescent="0.25">
      <c r="B380" s="492" t="str">
        <f>'по МК 56'!C127</f>
        <v>Капитальный ремонт автомобильных дорог города Орла на улицах частной жилой застройки: ул. Надежды</v>
      </c>
      <c r="C380" s="479"/>
      <c r="D380" s="465"/>
      <c r="E380" s="480"/>
      <c r="F380" s="490">
        <f t="shared" si="21"/>
        <v>1900</v>
      </c>
      <c r="G380" s="557">
        <f>'по МК 56'!D127/1000</f>
        <v>0.47499999999999998</v>
      </c>
      <c r="H380" s="465">
        <f t="shared" si="23"/>
        <v>3748.5741487499999</v>
      </c>
      <c r="I380" s="468">
        <v>0</v>
      </c>
      <c r="J380" s="468">
        <v>0</v>
      </c>
      <c r="K380" s="468">
        <v>0</v>
      </c>
      <c r="L380" s="465">
        <f>'по МК 56'!E127/1000</f>
        <v>3748.5741487499999</v>
      </c>
      <c r="M380" s="561">
        <v>0</v>
      </c>
      <c r="N380" s="249"/>
      <c r="O380" s="250"/>
    </row>
    <row r="381" spans="2:15" ht="33" x14ac:dyDescent="0.25">
      <c r="B381" s="492" t="str">
        <f>'по МК 56'!C128</f>
        <v>Капитальный ремонт автомобильных дорог города Орла на улицах частной жилой застройки: ул. Сечкина</v>
      </c>
      <c r="C381" s="479"/>
      <c r="D381" s="465"/>
      <c r="E381" s="480"/>
      <c r="F381" s="490">
        <f t="shared" si="21"/>
        <v>1156</v>
      </c>
      <c r="G381" s="557">
        <f>'по МК 56'!D128/1000</f>
        <v>0.28899999999999998</v>
      </c>
      <c r="H381" s="465">
        <f t="shared" si="23"/>
        <v>2280.7114294499997</v>
      </c>
      <c r="I381" s="468">
        <v>0</v>
      </c>
      <c r="J381" s="468">
        <v>0</v>
      </c>
      <c r="K381" s="468">
        <v>0</v>
      </c>
      <c r="L381" s="465">
        <f>'по МК 56'!E128/1000</f>
        <v>2280.7114294499997</v>
      </c>
      <c r="M381" s="561">
        <v>0</v>
      </c>
      <c r="N381" s="249"/>
      <c r="O381" s="250"/>
    </row>
    <row r="382" spans="2:15" ht="33" x14ac:dyDescent="0.25">
      <c r="B382" s="492" t="str">
        <f>'по МК 56'!C129</f>
        <v>Капитальный ремонт автомобильных дорог города Орла на улицах частной жилой застройки: пер. Сечкина</v>
      </c>
      <c r="C382" s="479"/>
      <c r="D382" s="465"/>
      <c r="E382" s="480"/>
      <c r="F382" s="490">
        <f t="shared" si="21"/>
        <v>1012</v>
      </c>
      <c r="G382" s="557">
        <f>'по МК 56'!D129/1000</f>
        <v>0.253</v>
      </c>
      <c r="H382" s="465">
        <f t="shared" si="23"/>
        <v>1996.6089676500001</v>
      </c>
      <c r="I382" s="468">
        <v>0</v>
      </c>
      <c r="J382" s="468">
        <v>0</v>
      </c>
      <c r="K382" s="468">
        <v>0</v>
      </c>
      <c r="L382" s="465">
        <f>'по МК 56'!E129/1000</f>
        <v>1996.6089676500001</v>
      </c>
      <c r="M382" s="561">
        <v>0</v>
      </c>
      <c r="N382" s="249"/>
      <c r="O382" s="250"/>
    </row>
    <row r="383" spans="2:15" ht="33" x14ac:dyDescent="0.25">
      <c r="B383" s="492" t="str">
        <f>'по МК 56'!C130</f>
        <v>Капитальный ремонт автомобильных дорог города Орла на улицах частной жилой застройки: ул. Героев Чекистов</v>
      </c>
      <c r="C383" s="479"/>
      <c r="D383" s="465"/>
      <c r="E383" s="480"/>
      <c r="F383" s="490">
        <f t="shared" si="21"/>
        <v>824</v>
      </c>
      <c r="G383" s="557">
        <f>'по МК 56'!D130/1000</f>
        <v>0.20599999999999999</v>
      </c>
      <c r="H383" s="465">
        <f t="shared" si="23"/>
        <v>1625.6974203</v>
      </c>
      <c r="I383" s="468">
        <v>0</v>
      </c>
      <c r="J383" s="468">
        <v>0</v>
      </c>
      <c r="K383" s="468">
        <v>0</v>
      </c>
      <c r="L383" s="465">
        <f>'по МК 56'!E130/1000</f>
        <v>1625.6974203</v>
      </c>
      <c r="M383" s="561">
        <v>0</v>
      </c>
      <c r="N383" s="249"/>
      <c r="O383" s="250"/>
    </row>
    <row r="384" spans="2:15" ht="33" x14ac:dyDescent="0.25">
      <c r="B384" s="492" t="str">
        <f>'по МК 56'!C131</f>
        <v>Капитальный ремонт автомобильных дорог города Орла на улицах частной жилой застройки: ул. Героев Милиционеров</v>
      </c>
      <c r="C384" s="479"/>
      <c r="D384" s="465"/>
      <c r="E384" s="480"/>
      <c r="F384" s="490">
        <f t="shared" si="21"/>
        <v>384</v>
      </c>
      <c r="G384" s="557">
        <f>'по МК 56'!D131/1000</f>
        <v>9.6000000000000002E-2</v>
      </c>
      <c r="H384" s="465">
        <f t="shared" si="23"/>
        <v>757.60613599999999</v>
      </c>
      <c r="I384" s="468">
        <v>0</v>
      </c>
      <c r="J384" s="468">
        <v>0</v>
      </c>
      <c r="K384" s="468">
        <v>0</v>
      </c>
      <c r="L384" s="465">
        <f>'по МК 56'!E131/1000-0.00002</f>
        <v>757.60613599999999</v>
      </c>
      <c r="M384" s="561">
        <v>0</v>
      </c>
      <c r="N384" s="249"/>
      <c r="O384" s="250"/>
    </row>
    <row r="385" spans="2:16" ht="33" x14ac:dyDescent="0.25">
      <c r="B385" s="492" t="str">
        <f>'по МК 56'!C132</f>
        <v>Капитальный ремонт автомобильных дорог города Орла на улицах частной жилой застройки: ул. Благининой</v>
      </c>
      <c r="C385" s="479"/>
      <c r="D385" s="465"/>
      <c r="E385" s="480"/>
      <c r="F385" s="490">
        <f t="shared" si="21"/>
        <v>5600</v>
      </c>
      <c r="G385" s="557">
        <f>'по МК 56'!D132/1000</f>
        <v>1.4</v>
      </c>
      <c r="H385" s="465">
        <f t="shared" si="23"/>
        <v>16250.152047999996</v>
      </c>
      <c r="I385" s="468">
        <v>0</v>
      </c>
      <c r="J385" s="468">
        <v>0</v>
      </c>
      <c r="K385" s="468">
        <v>0</v>
      </c>
      <c r="L385" s="465">
        <f>'по МК 56'!E132/1000</f>
        <v>16250.152047999996</v>
      </c>
      <c r="M385" s="561">
        <v>0</v>
      </c>
      <c r="N385" s="249"/>
      <c r="O385" s="250"/>
    </row>
    <row r="386" spans="2:16" ht="33" hidden="1" x14ac:dyDescent="0.25">
      <c r="B386" s="492" t="s">
        <v>300</v>
      </c>
      <c r="C386" s="479"/>
      <c r="D386" s="479"/>
      <c r="E386" s="587"/>
      <c r="F386" s="490">
        <f>60.3*8-482</f>
        <v>0.39999999999997726</v>
      </c>
      <c r="G386" s="557">
        <f>0.0603-0.0603</f>
        <v>0</v>
      </c>
      <c r="H386" s="465">
        <f t="shared" si="23"/>
        <v>0</v>
      </c>
      <c r="I386" s="468">
        <v>0</v>
      </c>
      <c r="J386" s="468">
        <v>0</v>
      </c>
      <c r="K386" s="468">
        <v>0</v>
      </c>
      <c r="L386" s="465">
        <v>0</v>
      </c>
      <c r="M386" s="561">
        <f>3000-3000</f>
        <v>0</v>
      </c>
      <c r="P386" s="250">
        <f>J402+J135</f>
        <v>358334.67801780009</v>
      </c>
    </row>
    <row r="387" spans="2:16" ht="33" hidden="1" x14ac:dyDescent="0.25">
      <c r="B387" s="492" t="s">
        <v>301</v>
      </c>
      <c r="C387" s="479"/>
      <c r="D387" s="479"/>
      <c r="E387" s="587"/>
      <c r="F387" s="490">
        <f>267*8-2136</f>
        <v>0</v>
      </c>
      <c r="G387" s="557">
        <f>0.267-0.267</f>
        <v>0</v>
      </c>
      <c r="H387" s="465">
        <f t="shared" si="23"/>
        <v>0</v>
      </c>
      <c r="I387" s="468">
        <v>0</v>
      </c>
      <c r="J387" s="468">
        <v>0</v>
      </c>
      <c r="K387" s="468">
        <v>0</v>
      </c>
      <c r="L387" s="465">
        <v>0</v>
      </c>
      <c r="M387" s="561">
        <f>5000-5000</f>
        <v>0</v>
      </c>
    </row>
    <row r="388" spans="2:16" ht="33" hidden="1" x14ac:dyDescent="0.25">
      <c r="B388" s="582" t="s">
        <v>630</v>
      </c>
      <c r="C388" s="479"/>
      <c r="D388" s="479"/>
      <c r="E388" s="587"/>
      <c r="F388" s="490">
        <f>5090*8-40720</f>
        <v>0</v>
      </c>
      <c r="G388" s="557">
        <f>5.09-5.09</f>
        <v>0</v>
      </c>
      <c r="H388" s="465">
        <f t="shared" si="23"/>
        <v>0</v>
      </c>
      <c r="I388" s="468">
        <v>0</v>
      </c>
      <c r="J388" s="468">
        <v>0</v>
      </c>
      <c r="K388" s="468">
        <v>0</v>
      </c>
      <c r="L388" s="465">
        <v>0</v>
      </c>
      <c r="M388" s="561">
        <f>2687091.49-2687091.49</f>
        <v>0</v>
      </c>
    </row>
    <row r="389" spans="2:16" ht="48.75" hidden="1" customHeight="1" x14ac:dyDescent="0.25">
      <c r="B389" s="492" t="str">
        <f>'перечень объектов'!B466</f>
        <v xml:space="preserve">Капитальный ремонт автомобильной дороги по ул. Тургенева на участке от ул. Салтыкова-Щедрина до моста Тургеневский через р. Орлик </v>
      </c>
      <c r="C389" s="479"/>
      <c r="D389" s="479"/>
      <c r="E389" s="587"/>
      <c r="F389" s="490">
        <v>8480</v>
      </c>
      <c r="G389" s="557">
        <v>0.53</v>
      </c>
      <c r="H389" s="465">
        <f t="shared" si="23"/>
        <v>171900</v>
      </c>
      <c r="I389" s="468">
        <v>0</v>
      </c>
      <c r="J389" s="468">
        <v>0</v>
      </c>
      <c r="K389" s="468">
        <v>0</v>
      </c>
      <c r="L389" s="465">
        <v>0</v>
      </c>
      <c r="M389" s="561">
        <f>'перечень объектов'!C466</f>
        <v>171900</v>
      </c>
      <c r="O389" s="497">
        <f>SUM(F389:F397)</f>
        <v>79132</v>
      </c>
      <c r="P389" s="306">
        <f>SUM(G389:G397)</f>
        <v>5.7644000000000002</v>
      </c>
    </row>
    <row r="390" spans="2:16" ht="33" hidden="1" x14ac:dyDescent="0.25">
      <c r="B390" s="492" t="str">
        <f>'перечень объектов'!B467</f>
        <v>Капитальный ремонт автомобильной дороги по ул. Максима Горького на участке от ул. Брестская до ул. 7 Ноября</v>
      </c>
      <c r="C390" s="479"/>
      <c r="D390" s="479"/>
      <c r="E390" s="587"/>
      <c r="F390" s="490">
        <v>7665</v>
      </c>
      <c r="G390" s="557">
        <v>0.36499999999999999</v>
      </c>
      <c r="H390" s="465">
        <f t="shared" si="23"/>
        <v>101200</v>
      </c>
      <c r="I390" s="468">
        <v>0</v>
      </c>
      <c r="J390" s="468">
        <v>0</v>
      </c>
      <c r="K390" s="468">
        <v>0</v>
      </c>
      <c r="L390" s="465">
        <v>0</v>
      </c>
      <c r="M390" s="561">
        <f>'перечень объектов'!C467</f>
        <v>101200</v>
      </c>
      <c r="O390" s="251">
        <v>24560</v>
      </c>
      <c r="P390" s="251">
        <v>3.07</v>
      </c>
    </row>
    <row r="391" spans="2:16" hidden="1" x14ac:dyDescent="0.25">
      <c r="B391" s="492" t="str">
        <f>'перечень объектов'!B468</f>
        <v xml:space="preserve">Капитальный ремонт автомобильной дороги по ул. Брестская </v>
      </c>
      <c r="C391" s="479"/>
      <c r="D391" s="479"/>
      <c r="E391" s="587"/>
      <c r="F391" s="490">
        <v>6985</v>
      </c>
      <c r="G391" s="557">
        <v>0.5</v>
      </c>
      <c r="H391" s="465">
        <f t="shared" si="23"/>
        <v>191400</v>
      </c>
      <c r="I391" s="468">
        <v>0</v>
      </c>
      <c r="J391" s="468">
        <v>0</v>
      </c>
      <c r="K391" s="468">
        <v>0</v>
      </c>
      <c r="L391" s="465">
        <v>0</v>
      </c>
      <c r="M391" s="561">
        <f>'перечень объектов'!C468</f>
        <v>191400</v>
      </c>
      <c r="O391" s="251">
        <v>38560</v>
      </c>
      <c r="P391" s="251">
        <v>2.41</v>
      </c>
    </row>
    <row r="392" spans="2:16" hidden="1" x14ac:dyDescent="0.25">
      <c r="B392" s="492" t="str">
        <f>'перечень объектов'!B469</f>
        <v>Капитальный ремонт автомобильной дороги по ул. Красина</v>
      </c>
      <c r="C392" s="479"/>
      <c r="D392" s="479"/>
      <c r="E392" s="587"/>
      <c r="F392" s="490">
        <v>14578</v>
      </c>
      <c r="G392" s="557">
        <v>1.2149000000000001</v>
      </c>
      <c r="H392" s="465">
        <f t="shared" si="23"/>
        <v>110000</v>
      </c>
      <c r="I392" s="468">
        <v>0</v>
      </c>
      <c r="J392" s="468">
        <v>0</v>
      </c>
      <c r="K392" s="468">
        <v>0</v>
      </c>
      <c r="L392" s="465">
        <v>0</v>
      </c>
      <c r="M392" s="561">
        <f>'перечень объектов'!C469</f>
        <v>110000</v>
      </c>
      <c r="O392" s="251">
        <v>21200</v>
      </c>
      <c r="P392" s="251">
        <v>1.06</v>
      </c>
    </row>
    <row r="393" spans="2:16" ht="35.25" hidden="1" customHeight="1" x14ac:dyDescent="0.25">
      <c r="B393" s="492" t="str">
        <f>'перечень объектов'!B470</f>
        <v xml:space="preserve">Капитальный ремонт автомобильной дороги по ул. Красноармейская </v>
      </c>
      <c r="C393" s="479"/>
      <c r="D393" s="479"/>
      <c r="E393" s="587"/>
      <c r="F393" s="490">
        <v>13118</v>
      </c>
      <c r="G393" s="557">
        <v>0.9375</v>
      </c>
      <c r="H393" s="465">
        <f t="shared" si="23"/>
        <v>324500</v>
      </c>
      <c r="I393" s="468">
        <v>0</v>
      </c>
      <c r="J393" s="468">
        <v>0</v>
      </c>
      <c r="K393" s="468">
        <v>0</v>
      </c>
      <c r="L393" s="465">
        <v>0</v>
      </c>
      <c r="M393" s="561">
        <f>'перечень объектов'!C470</f>
        <v>324500</v>
      </c>
    </row>
    <row r="394" spans="2:16" ht="33" hidden="1" x14ac:dyDescent="0.25">
      <c r="B394" s="492" t="str">
        <f>'перечень объектов'!B471</f>
        <v xml:space="preserve">Капитальный ремонт автомобильной дороги по ул. Сурена Шаумяна </v>
      </c>
      <c r="C394" s="479"/>
      <c r="D394" s="479"/>
      <c r="E394" s="587"/>
      <c r="F394" s="490">
        <v>11718</v>
      </c>
      <c r="G394" s="557">
        <v>0.83699999999999997</v>
      </c>
      <c r="H394" s="465">
        <f t="shared" si="23"/>
        <v>309100</v>
      </c>
      <c r="I394" s="468">
        <v>0</v>
      </c>
      <c r="J394" s="468">
        <v>0</v>
      </c>
      <c r="K394" s="468">
        <v>0</v>
      </c>
      <c r="L394" s="465">
        <v>0</v>
      </c>
      <c r="M394" s="561">
        <f>'перечень объектов'!C471</f>
        <v>309100</v>
      </c>
    </row>
    <row r="395" spans="2:16" ht="33" hidden="1" x14ac:dyDescent="0.25">
      <c r="B395" s="492" t="str">
        <f>'перечень объектов'!B472</f>
        <v>Капитальный ремонт автомобильной дороги по ул Тургенева на участке от ул. Брестская до дома № 17 по ул. Ленина</v>
      </c>
      <c r="C395" s="479"/>
      <c r="D395" s="479"/>
      <c r="E395" s="587"/>
      <c r="F395" s="490">
        <v>1856</v>
      </c>
      <c r="G395" s="557">
        <v>0.11600000000000001</v>
      </c>
      <c r="H395" s="465">
        <f t="shared" si="23"/>
        <v>25000</v>
      </c>
      <c r="I395" s="468">
        <v>0</v>
      </c>
      <c r="J395" s="468">
        <v>0</v>
      </c>
      <c r="K395" s="468">
        <v>0</v>
      </c>
      <c r="L395" s="465">
        <v>0</v>
      </c>
      <c r="M395" s="561">
        <f>'перечень объектов'!C472</f>
        <v>25000</v>
      </c>
    </row>
    <row r="396" spans="2:16" ht="49.5" hidden="1" x14ac:dyDescent="0.25">
      <c r="B396" s="492" t="str">
        <f>'перечень объектов'!B473</f>
        <v>Капитальный ремонт автомобильной дороги по ул. 1-ая Посадская на участке от ул. Комсомольская до моста Тургеневский через р. Орлик ул. Тургенева</v>
      </c>
      <c r="C396" s="479"/>
      <c r="D396" s="479"/>
      <c r="E396" s="587"/>
      <c r="F396" s="490">
        <v>7700</v>
      </c>
      <c r="G396" s="557">
        <v>0.38500000000000001</v>
      </c>
      <c r="H396" s="465">
        <f t="shared" si="23"/>
        <v>160600</v>
      </c>
      <c r="I396" s="468">
        <v>0</v>
      </c>
      <c r="J396" s="468">
        <v>0</v>
      </c>
      <c r="K396" s="468">
        <v>0</v>
      </c>
      <c r="L396" s="465">
        <v>0</v>
      </c>
      <c r="M396" s="561">
        <f>'перечень объектов'!C473</f>
        <v>160600</v>
      </c>
    </row>
    <row r="397" spans="2:16" ht="49.5" hidden="1" x14ac:dyDescent="0.25">
      <c r="B397" s="492" t="s">
        <v>478</v>
      </c>
      <c r="C397" s="479"/>
      <c r="D397" s="479"/>
      <c r="E397" s="587"/>
      <c r="F397" s="490">
        <v>7032</v>
      </c>
      <c r="G397" s="557">
        <v>0.879</v>
      </c>
      <c r="H397" s="473">
        <f t="shared" ref="H397:H399" si="24">SUM(I397:M397)</f>
        <v>86000</v>
      </c>
      <c r="I397" s="465">
        <v>0</v>
      </c>
      <c r="J397" s="465">
        <v>0</v>
      </c>
      <c r="K397" s="465">
        <v>0</v>
      </c>
      <c r="L397" s="465">
        <v>0</v>
      </c>
      <c r="M397" s="561">
        <v>86000</v>
      </c>
      <c r="O397" s="250">
        <f>K403-9565.69744</f>
        <v>32287.344699417819</v>
      </c>
    </row>
    <row r="398" spans="2:16" ht="33" x14ac:dyDescent="0.25">
      <c r="B398" s="492" t="s">
        <v>27</v>
      </c>
      <c r="C398" s="479"/>
      <c r="D398" s="479"/>
      <c r="E398" s="587"/>
      <c r="F398" s="490"/>
      <c r="G398" s="557"/>
      <c r="H398" s="473">
        <f t="shared" si="24"/>
        <v>11897.765479999998</v>
      </c>
      <c r="I398" s="465">
        <v>0</v>
      </c>
      <c r="J398" s="465">
        <f>3936.007+540</f>
        <v>4476.0069999999996</v>
      </c>
      <c r="K398" s="465">
        <f>2100.64497+1374.11351</f>
        <v>3474.7584799999995</v>
      </c>
      <c r="L398" s="465">
        <v>0</v>
      </c>
      <c r="M398" s="561">
        <f>'перечень объектов'!C474</f>
        <v>3947</v>
      </c>
    </row>
    <row r="399" spans="2:16" x14ac:dyDescent="0.25">
      <c r="B399" s="582" t="s">
        <v>28</v>
      </c>
      <c r="C399" s="479"/>
      <c r="D399" s="479"/>
      <c r="E399" s="587"/>
      <c r="F399" s="490"/>
      <c r="G399" s="557"/>
      <c r="H399" s="473">
        <f t="shared" si="24"/>
        <v>79157.950702842092</v>
      </c>
      <c r="I399" s="465">
        <f>7318.72345+3413.74478284208+10042.62446+18021.04791+9931.6025+30430.2076</f>
        <v>79157.950702842092</v>
      </c>
      <c r="J399" s="465">
        <f>20904.8188868688-20904.8188868688</f>
        <v>0</v>
      </c>
      <c r="K399" s="465">
        <v>0</v>
      </c>
      <c r="L399" s="465">
        <v>0</v>
      </c>
      <c r="M399" s="561">
        <v>0</v>
      </c>
    </row>
    <row r="400" spans="2:16" ht="17.25" x14ac:dyDescent="0.25">
      <c r="B400" s="549" t="s">
        <v>16</v>
      </c>
      <c r="C400" s="479"/>
      <c r="D400" s="479"/>
      <c r="E400" s="587"/>
      <c r="F400" s="572"/>
      <c r="G400" s="479"/>
      <c r="H400" s="473"/>
      <c r="I400" s="465"/>
      <c r="J400" s="465"/>
      <c r="K400" s="465"/>
      <c r="L400" s="465"/>
      <c r="M400" s="561"/>
      <c r="O400" s="251" t="s">
        <v>634</v>
      </c>
      <c r="P400" s="250">
        <v>2687091.49</v>
      </c>
    </row>
    <row r="401" spans="2:17" x14ac:dyDescent="0.25">
      <c r="B401" s="492" t="s">
        <v>77</v>
      </c>
      <c r="C401" s="479"/>
      <c r="D401" s="479"/>
      <c r="E401" s="587"/>
      <c r="F401" s="572"/>
      <c r="G401" s="479"/>
      <c r="H401" s="465">
        <f>SUM(I401:M401)</f>
        <v>0</v>
      </c>
      <c r="I401" s="465">
        <v>0</v>
      </c>
      <c r="J401" s="465">
        <v>0</v>
      </c>
      <c r="K401" s="465">
        <v>0</v>
      </c>
      <c r="L401" s="465">
        <v>0</v>
      </c>
      <c r="M401" s="561">
        <v>0</v>
      </c>
      <c r="N401" s="267"/>
      <c r="O401" s="306" t="s">
        <v>632</v>
      </c>
      <c r="P401" s="306">
        <f>(P400-P403)*0.99</f>
        <v>2633618.369349</v>
      </c>
    </row>
    <row r="402" spans="2:17" x14ac:dyDescent="0.25">
      <c r="B402" s="492" t="s">
        <v>78</v>
      </c>
      <c r="C402" s="479"/>
      <c r="D402" s="479"/>
      <c r="E402" s="587"/>
      <c r="F402" s="572"/>
      <c r="G402" s="479"/>
      <c r="H402" s="465">
        <f>SUM(I402:M402)</f>
        <v>1300483.7978535788</v>
      </c>
      <c r="I402" s="465">
        <v>126480.05765669997</v>
      </c>
      <c r="J402" s="465">
        <f>'перечень объектов'!F199</f>
        <v>312714.46092150005</v>
      </c>
      <c r="K402" s="465">
        <f>'перечень объектов'!F267</f>
        <v>362170.07927236235</v>
      </c>
      <c r="L402" s="465">
        <f>'перечень объектов'!F364</f>
        <v>399119.20000311674</v>
      </c>
      <c r="M402" s="561">
        <f>'перечень объектов'!F457</f>
        <v>99999.999999899999</v>
      </c>
      <c r="N402" s="267"/>
      <c r="O402" s="306" t="s">
        <v>194</v>
      </c>
      <c r="P402" s="306">
        <f>P400-P401-P403</f>
        <v>26602.205750999972</v>
      </c>
    </row>
    <row r="403" spans="2:17" ht="17.25" thickBot="1" x14ac:dyDescent="0.3">
      <c r="B403" s="597" t="s">
        <v>10</v>
      </c>
      <c r="C403" s="598"/>
      <c r="D403" s="598"/>
      <c r="E403" s="599"/>
      <c r="F403" s="600"/>
      <c r="G403" s="598"/>
      <c r="H403" s="519">
        <f>SUM(I403:M403)</f>
        <v>482925.70218572608</v>
      </c>
      <c r="I403" s="519">
        <f>4096.6+280.7</f>
        <v>4377.3</v>
      </c>
      <c r="J403" s="519">
        <f>'перечень объектов'!G199</f>
        <v>3158.7319284999985</v>
      </c>
      <c r="K403" s="519">
        <f>'перечень объектов'!G267</f>
        <v>41853.042139417819</v>
      </c>
      <c r="L403" s="519">
        <f>'перечень объектов'!G364</f>
        <v>428579.52710770827</v>
      </c>
      <c r="M403" s="601">
        <f>'перечень объектов'!G457</f>
        <v>4957.1010100999993</v>
      </c>
      <c r="N403" s="267"/>
      <c r="O403" s="306" t="s">
        <v>633</v>
      </c>
      <c r="P403" s="306">
        <f>P400-P400*0.99</f>
        <v>26870.914900000207</v>
      </c>
    </row>
    <row r="404" spans="2:17" x14ac:dyDescent="0.25">
      <c r="B404" s="485"/>
      <c r="C404" s="485"/>
      <c r="D404" s="485"/>
      <c r="E404" s="485"/>
      <c r="F404" s="485"/>
      <c r="G404" s="485"/>
      <c r="H404" s="467"/>
      <c r="I404" s="467"/>
      <c r="J404" s="467"/>
      <c r="K404" s="467"/>
      <c r="L404" s="467"/>
      <c r="M404" s="467"/>
      <c r="O404" s="306"/>
      <c r="P404" s="306"/>
    </row>
    <row r="405" spans="2:17" hidden="1" x14ac:dyDescent="0.25">
      <c r="B405" s="485"/>
      <c r="C405" s="602"/>
      <c r="D405" s="602"/>
      <c r="E405" s="602"/>
      <c r="F405" s="603"/>
      <c r="G405" s="604"/>
      <c r="H405" s="605"/>
      <c r="I405" s="612"/>
      <c r="J405" s="454"/>
      <c r="L405" s="454"/>
      <c r="M405" s="454"/>
    </row>
    <row r="406" spans="2:17" x14ac:dyDescent="0.25">
      <c r="B406" s="485"/>
      <c r="C406" s="602"/>
      <c r="D406" s="602"/>
      <c r="E406" s="602"/>
      <c r="F406" s="602"/>
      <c r="G406" s="602"/>
      <c r="H406" s="454"/>
      <c r="I406" s="454"/>
      <c r="J406" s="454"/>
      <c r="L406" s="454"/>
      <c r="M406" s="454"/>
    </row>
    <row r="407" spans="2:17" s="308" customFormat="1" ht="21" x14ac:dyDescent="0.25">
      <c r="B407" s="606" t="s">
        <v>900</v>
      </c>
      <c r="C407" s="606"/>
      <c r="D407" s="606"/>
      <c r="E407" s="607"/>
      <c r="F407" s="607"/>
      <c r="G407" s="607"/>
      <c r="H407" s="452"/>
      <c r="I407" s="452"/>
      <c r="J407" s="452"/>
      <c r="K407" s="452"/>
      <c r="L407" s="452"/>
      <c r="M407" s="452"/>
      <c r="N407" s="127"/>
    </row>
    <row r="408" spans="2:17" s="308" customFormat="1" ht="21" x14ac:dyDescent="0.25">
      <c r="B408" s="606" t="s">
        <v>125</v>
      </c>
      <c r="C408" s="606"/>
      <c r="D408" s="606"/>
      <c r="E408" s="607"/>
      <c r="F408" s="690"/>
      <c r="G408" s="690"/>
      <c r="H408" s="608"/>
      <c r="I408" s="702"/>
      <c r="J408" s="702"/>
      <c r="K408" s="452"/>
      <c r="L408" s="452"/>
      <c r="M408" s="629" t="s">
        <v>128</v>
      </c>
      <c r="N408" s="127"/>
    </row>
    <row r="409" spans="2:17" ht="18.75" x14ac:dyDescent="0.25">
      <c r="B409" s="609"/>
      <c r="C409" s="609"/>
      <c r="D409" s="609"/>
      <c r="E409" s="610"/>
      <c r="F409" s="611"/>
      <c r="G409" s="611"/>
      <c r="H409" s="612"/>
      <c r="I409" s="454"/>
      <c r="J409" s="454"/>
      <c r="L409" s="454"/>
      <c r="M409" s="454"/>
    </row>
    <row r="411" spans="2:17" x14ac:dyDescent="0.25">
      <c r="B411" s="312"/>
      <c r="F411" s="307"/>
      <c r="O411" s="250">
        <f>K402+K135</f>
        <v>496030.93006636231</v>
      </c>
      <c r="P411" s="251">
        <v>937220.4</v>
      </c>
      <c r="Q411" s="250">
        <f>P411-O411</f>
        <v>441189.46993363771</v>
      </c>
    </row>
    <row r="413" spans="2:17" ht="18.75" x14ac:dyDescent="0.25">
      <c r="B413" s="309"/>
      <c r="C413" s="309"/>
      <c r="D413" s="309"/>
      <c r="E413" s="310"/>
      <c r="F413" s="310"/>
      <c r="G413" s="310"/>
    </row>
    <row r="414" spans="2:17" ht="18.75" x14ac:dyDescent="0.25">
      <c r="B414" s="309"/>
      <c r="C414" s="309"/>
      <c r="D414" s="309"/>
      <c r="E414" s="309"/>
      <c r="F414" s="651"/>
      <c r="G414" s="651"/>
      <c r="H414" s="311"/>
    </row>
    <row r="415" spans="2:17" ht="18.75" x14ac:dyDescent="0.25">
      <c r="B415" s="309"/>
      <c r="C415" s="309"/>
      <c r="D415" s="309"/>
      <c r="E415" s="310"/>
      <c r="F415" s="651"/>
      <c r="G415" s="651"/>
      <c r="H415" s="311"/>
    </row>
  </sheetData>
  <mergeCells count="78">
    <mergeCell ref="H35:M35"/>
    <mergeCell ref="B137:M137"/>
    <mergeCell ref="B139:B141"/>
    <mergeCell ref="D139:D141"/>
    <mergeCell ref="E139:E141"/>
    <mergeCell ref="C40:C131"/>
    <mergeCell ref="C139:C160"/>
    <mergeCell ref="F40:G41"/>
    <mergeCell ref="I133:M133"/>
    <mergeCell ref="M41:M43"/>
    <mergeCell ref="H41:H43"/>
    <mergeCell ref="K139:K141"/>
    <mergeCell ref="L139:L141"/>
    <mergeCell ref="M139:M141"/>
    <mergeCell ref="I199:M199"/>
    <mergeCell ref="F168:G169"/>
    <mergeCell ref="C169:C197"/>
    <mergeCell ref="B12:M12"/>
    <mergeCell ref="B41:B43"/>
    <mergeCell ref="D41:D43"/>
    <mergeCell ref="E41:E43"/>
    <mergeCell ref="L41:L43"/>
    <mergeCell ref="B15:B16"/>
    <mergeCell ref="C15:C16"/>
    <mergeCell ref="D15:E15"/>
    <mergeCell ref="F15:G16"/>
    <mergeCell ref="H15:M15"/>
    <mergeCell ref="C26:C34"/>
    <mergeCell ref="F25:G26"/>
    <mergeCell ref="B24:M24"/>
    <mergeCell ref="F415:G415"/>
    <mergeCell ref="F408:G408"/>
    <mergeCell ref="F204:G205"/>
    <mergeCell ref="F213:G214"/>
    <mergeCell ref="F232:G233"/>
    <mergeCell ref="F240:G241"/>
    <mergeCell ref="B239:M239"/>
    <mergeCell ref="I408:J408"/>
    <mergeCell ref="B212:M212"/>
    <mergeCell ref="C232:C234"/>
    <mergeCell ref="B241:B243"/>
    <mergeCell ref="C240:C243"/>
    <mergeCell ref="H241:H243"/>
    <mergeCell ref="D241:D243"/>
    <mergeCell ref="E241:E243"/>
    <mergeCell ref="M241:M243"/>
    <mergeCell ref="B203:M203"/>
    <mergeCell ref="J2:M2"/>
    <mergeCell ref="J3:M3"/>
    <mergeCell ref="J4:M4"/>
    <mergeCell ref="J5:M5"/>
    <mergeCell ref="B39:M39"/>
    <mergeCell ref="C18:C23"/>
    <mergeCell ref="D18:D23"/>
    <mergeCell ref="E18:E23"/>
    <mergeCell ref="I19:M19"/>
    <mergeCell ref="F18:G23"/>
    <mergeCell ref="J10:M10"/>
    <mergeCell ref="J7:M7"/>
    <mergeCell ref="J8:M8"/>
    <mergeCell ref="J9:M9"/>
    <mergeCell ref="B13:M13"/>
    <mergeCell ref="C214:C224"/>
    <mergeCell ref="F414:G414"/>
    <mergeCell ref="K241:K243"/>
    <mergeCell ref="L241:L243"/>
    <mergeCell ref="I41:I43"/>
    <mergeCell ref="J41:J43"/>
    <mergeCell ref="K41:K43"/>
    <mergeCell ref="H139:H141"/>
    <mergeCell ref="F138:G139"/>
    <mergeCell ref="B167:M167"/>
    <mergeCell ref="I139:I141"/>
    <mergeCell ref="J139:J141"/>
    <mergeCell ref="I162:M162"/>
    <mergeCell ref="I241:I243"/>
    <mergeCell ref="J241:J243"/>
    <mergeCell ref="I208:M208"/>
  </mergeCells>
  <pageMargins left="0.23622047244094491" right="0.23622047244094491" top="0.74803149606299213" bottom="0.74803149606299213" header="0.31496062992125984" footer="0.31496062992125984"/>
  <pageSetup paperSize="9" scale="39" fitToHeight="0" orientation="landscape" horizontalDpi="4294967295" verticalDpi="4294967295" r:id="rId1"/>
  <headerFooter>
    <oddFooter>&amp;C&amp;P</oddFooter>
  </headerFooter>
  <rowBreaks count="1" manualBreakCount="1">
    <brk id="221" max="12" man="1"/>
  </rowBreaks>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21"/>
  <sheetViews>
    <sheetView zoomScaleNormal="100" workbookViewId="0">
      <selection activeCell="H16" sqref="H16"/>
    </sheetView>
  </sheetViews>
  <sheetFormatPr defaultRowHeight="15" x14ac:dyDescent="0.25"/>
  <cols>
    <col min="1" max="1" width="9.140625" style="87"/>
    <col min="2" max="2" width="63.7109375" style="37" customWidth="1"/>
    <col min="3" max="3" width="16.7109375" style="37" customWidth="1"/>
    <col min="4" max="6" width="16.7109375" style="17" customWidth="1"/>
    <col min="7" max="7" width="17" style="17" customWidth="1"/>
    <col min="8" max="13" width="14.7109375" style="17" customWidth="1"/>
    <col min="14" max="16384" width="9.140625" style="17"/>
  </cols>
  <sheetData>
    <row r="2" spans="1:7" ht="24" customHeight="1" x14ac:dyDescent="0.25">
      <c r="B2" s="756"/>
      <c r="C2" s="756"/>
      <c r="D2" s="756"/>
      <c r="E2" s="756"/>
    </row>
    <row r="3" spans="1:7" ht="15.75" thickBot="1" x14ac:dyDescent="0.3">
      <c r="F3" s="85" t="s">
        <v>383</v>
      </c>
    </row>
    <row r="4" spans="1:7" s="85" customFormat="1" ht="18" customHeight="1" x14ac:dyDescent="0.25">
      <c r="A4" s="823" t="s">
        <v>380</v>
      </c>
      <c r="B4" s="824"/>
      <c r="C4" s="821">
        <v>2022</v>
      </c>
      <c r="D4" s="822"/>
      <c r="E4" s="821">
        <v>2023</v>
      </c>
      <c r="F4" s="822"/>
    </row>
    <row r="5" spans="1:7" s="85" customFormat="1" ht="18" customHeight="1" thickBot="1" x14ac:dyDescent="0.3">
      <c r="A5" s="825"/>
      <c r="B5" s="826"/>
      <c r="C5" s="95" t="s">
        <v>375</v>
      </c>
      <c r="D5" s="104" t="s">
        <v>382</v>
      </c>
      <c r="E5" s="95" t="s">
        <v>375</v>
      </c>
      <c r="F5" s="88" t="s">
        <v>381</v>
      </c>
    </row>
    <row r="6" spans="1:7" ht="75" x14ac:dyDescent="0.25">
      <c r="A6" s="89" t="s">
        <v>245</v>
      </c>
      <c r="B6" s="99" t="str">
        <f>'целевые показатели'!B26</f>
        <v>Содержание автомобильных дорог общего пользования местного значения и искусственных сооружений на них, приобретение дорожной техники, необходимой для содержания автомобильных дорог общего пользования местного значения</v>
      </c>
      <c r="C6" s="105">
        <f>SUM(C7:C14)</f>
        <v>929553100.53622353</v>
      </c>
      <c r="D6" s="106">
        <f>SUM(D7:D14)</f>
        <v>755148797.63880002</v>
      </c>
      <c r="E6" s="105">
        <f>SUM(E7:E14)</f>
        <v>500000000.00099999</v>
      </c>
      <c r="F6" s="106">
        <f>SUM(F7:F14)</f>
        <v>999999999.99740005</v>
      </c>
    </row>
    <row r="7" spans="1:7" ht="18" customHeight="1" x14ac:dyDescent="0.25">
      <c r="A7" s="90"/>
      <c r="B7" s="100" t="s">
        <v>378</v>
      </c>
      <c r="C7" s="107">
        <v>634027439.9823705</v>
      </c>
      <c r="D7" s="93">
        <v>539873168.54790008</v>
      </c>
      <c r="E7" s="112">
        <v>203798450.08709997</v>
      </c>
      <c r="F7" s="93">
        <v>700000000</v>
      </c>
      <c r="G7" s="86"/>
    </row>
    <row r="8" spans="1:7" ht="18" customHeight="1" x14ac:dyDescent="0.25">
      <c r="A8" s="90"/>
      <c r="B8" s="100" t="s">
        <v>377</v>
      </c>
      <c r="C8" s="110">
        <v>41844110.640453003</v>
      </c>
      <c r="D8" s="93">
        <v>19164888.558000002</v>
      </c>
      <c r="E8" s="112">
        <v>42520000.000499994</v>
      </c>
      <c r="F8" s="93">
        <v>36183115.490000002</v>
      </c>
    </row>
    <row r="9" spans="1:7" ht="18" customHeight="1" x14ac:dyDescent="0.25">
      <c r="A9" s="90"/>
      <c r="B9" s="100" t="s">
        <v>169</v>
      </c>
      <c r="C9" s="110">
        <v>19800000</v>
      </c>
      <c r="D9" s="93">
        <v>13769682.35</v>
      </c>
      <c r="E9" s="113">
        <v>19800000</v>
      </c>
      <c r="F9" s="93">
        <v>19800000</v>
      </c>
    </row>
    <row r="10" spans="1:7" ht="30" x14ac:dyDescent="0.25">
      <c r="A10" s="90"/>
      <c r="B10" s="100" t="s">
        <v>376</v>
      </c>
      <c r="C10" s="110">
        <v>99864665.406000003</v>
      </c>
      <c r="D10" s="93">
        <v>59539964.142699994</v>
      </c>
      <c r="E10" s="113">
        <v>99864665.406000003</v>
      </c>
      <c r="F10" s="93">
        <v>100000000</v>
      </c>
    </row>
    <row r="11" spans="1:7" ht="30" x14ac:dyDescent="0.25">
      <c r="A11" s="90"/>
      <c r="B11" s="100" t="s">
        <v>170</v>
      </c>
      <c r="C11" s="110">
        <v>3984919.9433999998</v>
      </c>
      <c r="D11" s="93">
        <v>3492201.0717000002</v>
      </c>
      <c r="E11" s="113">
        <v>3984919.9433999998</v>
      </c>
      <c r="F11" s="93">
        <v>3984919.9433999998</v>
      </c>
    </row>
    <row r="12" spans="1:7" ht="18" customHeight="1" x14ac:dyDescent="0.25">
      <c r="A12" s="90"/>
      <c r="B12" s="100" t="s">
        <v>186</v>
      </c>
      <c r="C12" s="110">
        <v>115031964.56400001</v>
      </c>
      <c r="D12" s="93">
        <v>114613072.4516</v>
      </c>
      <c r="E12" s="114">
        <v>115031964.56400001</v>
      </c>
      <c r="F12" s="115">
        <v>115031964.56400001</v>
      </c>
    </row>
    <row r="13" spans="1:7" ht="30" customHeight="1" x14ac:dyDescent="0.25">
      <c r="A13" s="90"/>
      <c r="B13" s="100" t="s">
        <v>225</v>
      </c>
      <c r="C13" s="110">
        <v>10000000</v>
      </c>
      <c r="D13" s="93">
        <v>2717327.4068999998</v>
      </c>
      <c r="E13" s="107">
        <v>10000000</v>
      </c>
      <c r="F13" s="93">
        <v>15000000</v>
      </c>
    </row>
    <row r="14" spans="1:7" ht="30.75" thickBot="1" x14ac:dyDescent="0.3">
      <c r="A14" s="91"/>
      <c r="B14" s="101" t="s">
        <v>25</v>
      </c>
      <c r="C14" s="111">
        <v>5000000</v>
      </c>
      <c r="D14" s="94">
        <v>1978493.11</v>
      </c>
      <c r="E14" s="108">
        <v>5000000</v>
      </c>
      <c r="F14" s="94">
        <v>10000000</v>
      </c>
    </row>
    <row r="15" spans="1:7" ht="30" x14ac:dyDescent="0.25">
      <c r="A15" s="89" t="s">
        <v>246</v>
      </c>
      <c r="B15" s="99" t="str">
        <f>'целевые показатели'!B41</f>
        <v>Ремонт автомобильных дорог общего пользования местного значения и искусственных сооружений на них</v>
      </c>
      <c r="C15" s="109">
        <v>221092682.877</v>
      </c>
      <c r="D15" s="92">
        <v>63035149.939899996</v>
      </c>
      <c r="E15" s="96">
        <v>50320404.100000001</v>
      </c>
      <c r="F15" s="92">
        <v>350000000</v>
      </c>
      <c r="G15" s="86"/>
    </row>
    <row r="16" spans="1:7" ht="78" customHeight="1" x14ac:dyDescent="0.25">
      <c r="A16" s="90" t="s">
        <v>247</v>
      </c>
      <c r="B16" s="102" t="str">
        <f>'целевые показатели'!B139</f>
        <v>Ремонт автомобильных дорог в рамках реализации регионального проекта "Программа комплексного развития объединенной дорожной сети Орловской области,  а также Орловской городской агломерации на 2019-2024 годы" национального проекта "Безопасные качественные дороги"</v>
      </c>
      <c r="C16" s="110">
        <v>300000000</v>
      </c>
      <c r="D16" s="93">
        <v>242435652.06560001</v>
      </c>
      <c r="E16" s="110">
        <v>300000000</v>
      </c>
      <c r="F16" s="93"/>
    </row>
    <row r="17" spans="1:6" ht="30" x14ac:dyDescent="0.25">
      <c r="A17" s="90" t="s">
        <v>248</v>
      </c>
      <c r="B17" s="102" t="str">
        <f>'целевые показатели'!B169</f>
        <v>Устройство (монтаж) средств организации и регулирования дорожного движения на автомобильных дорогах города Орла</v>
      </c>
      <c r="C17" s="107">
        <v>0</v>
      </c>
      <c r="D17" s="93">
        <v>8268672.6999999993</v>
      </c>
      <c r="E17" s="97">
        <v>0</v>
      </c>
      <c r="F17" s="93">
        <v>20000000</v>
      </c>
    </row>
    <row r="18" spans="1:6" ht="105" x14ac:dyDescent="0.25">
      <c r="A18" s="90" t="s">
        <v>249</v>
      </c>
      <c r="B18" s="102" t="str">
        <f>'целевые показатели'!B205</f>
        <v>Устройство интеллектуальных транспортных систем по организации дорожного движения в городе Орле в рамках реализации регионального проекта "Программа комплексного развития объединенной дорожной сети Орловской области, а а также Орловской городской агломерации на 2019-2024 годы" национального проекта "Безопасные и качественные автомобильные дороги"</v>
      </c>
      <c r="C18" s="107">
        <v>79600000</v>
      </c>
      <c r="D18" s="93"/>
      <c r="E18" s="97">
        <v>83239700</v>
      </c>
      <c r="F18" s="93"/>
    </row>
    <row r="19" spans="1:6" ht="30.75" thickBot="1" x14ac:dyDescent="0.3">
      <c r="A19" s="91" t="s">
        <v>379</v>
      </c>
      <c r="B19" s="103" t="str">
        <f>'целевые показатели'!B241</f>
        <v>Капитальный ремонт участков автомобильных дорог общего пользования местного значения в городе Орёл</v>
      </c>
      <c r="C19" s="111">
        <v>135364827.65300003</v>
      </c>
      <c r="D19" s="94">
        <v>34200000</v>
      </c>
      <c r="E19" s="98"/>
      <c r="F19" s="94"/>
    </row>
    <row r="21" spans="1:6" x14ac:dyDescent="0.25">
      <c r="C21" s="84"/>
    </row>
  </sheetData>
  <mergeCells count="4">
    <mergeCell ref="C4:D4"/>
    <mergeCell ref="A4:B5"/>
    <mergeCell ref="E4:F4"/>
    <mergeCell ref="B2:E2"/>
  </mergeCells>
  <pageMargins left="0.7" right="0.7" top="0.75" bottom="0.75" header="0.3" footer="0.3"/>
  <pageSetup paperSize="9" scale="62"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D37"/>
  <sheetViews>
    <sheetView workbookViewId="0">
      <selection activeCell="G20" sqref="G20"/>
    </sheetView>
  </sheetViews>
  <sheetFormatPr defaultRowHeight="15.75" x14ac:dyDescent="0.25"/>
  <cols>
    <col min="1" max="1" width="56.28515625" style="116" customWidth="1"/>
    <col min="2" max="2" width="14.7109375" style="117" customWidth="1"/>
    <col min="3" max="3" width="20.140625" style="4" customWidth="1"/>
    <col min="4" max="16384" width="9.140625" style="4"/>
  </cols>
  <sheetData>
    <row r="4" spans="1:4" x14ac:dyDescent="0.25">
      <c r="A4" s="118" t="str">
        <f>'целевые показатели'!B40</f>
        <v xml:space="preserve">Основное мероприятие 2. </v>
      </c>
      <c r="B4" s="119"/>
      <c r="C4" s="120"/>
      <c r="D4" s="120"/>
    </row>
    <row r="5" spans="1:4" ht="47.25" x14ac:dyDescent="0.25">
      <c r="A5" s="118" t="str">
        <f>'целевые показатели'!B41</f>
        <v>Ремонт автомобильных дорог общего пользования местного значения и искусственных сооружений на них</v>
      </c>
      <c r="B5" s="119"/>
      <c r="C5" s="120"/>
      <c r="D5" s="120"/>
    </row>
    <row r="6" spans="1:4" x14ac:dyDescent="0.25">
      <c r="A6" s="121" t="str">
        <f>'целевые показатели'!B44</f>
        <v>ремонт моста "Тургеневский" через р.Орлик</v>
      </c>
      <c r="B6" s="119">
        <f>'целевые показатели'!I44</f>
        <v>12505.798720000001</v>
      </c>
      <c r="C6" s="120"/>
      <c r="D6" s="120"/>
    </row>
    <row r="7" spans="1:4" x14ac:dyDescent="0.25">
      <c r="A7" s="121" t="str">
        <f>'целевые показатели'!B45</f>
        <v>ул.Мостовая</v>
      </c>
      <c r="B7" s="119">
        <f>'целевые показатели'!I45</f>
        <v>38647.63392</v>
      </c>
      <c r="C7" s="827"/>
      <c r="D7" s="827"/>
    </row>
    <row r="8" spans="1:4" ht="31.5" x14ac:dyDescent="0.25">
      <c r="A8" s="121" t="str">
        <f>'целевые показатели'!B46</f>
        <v>ул.Генерала Родина на участке от ул.Мостовой до ул.Веселой</v>
      </c>
      <c r="B8" s="119">
        <f>'целевые показатели'!I46</f>
        <v>9261.9189200000001</v>
      </c>
      <c r="C8" s="828"/>
      <c r="D8" s="828"/>
    </row>
    <row r="9" spans="1:4" ht="31.5" x14ac:dyDescent="0.25">
      <c r="A9" s="121" t="str">
        <f>'целевые показатели'!B47</f>
        <v>Наугорское шоссе от ул. Лескова до ул. Скворцова (1 этап от ул.Лескова до ул.Цветаева)</v>
      </c>
      <c r="B9" s="119">
        <f>'целевые показатели'!I47</f>
        <v>11337.800439999992</v>
      </c>
      <c r="C9" s="828"/>
      <c r="D9" s="828"/>
    </row>
    <row r="10" spans="1:4" x14ac:dyDescent="0.25">
      <c r="A10" s="121" t="str">
        <f>'целевые показатели'!B48</f>
        <v>Кромской проезд</v>
      </c>
      <c r="B10" s="119">
        <f>'целевые показатели'!I48</f>
        <v>1703.5781199999999</v>
      </c>
      <c r="C10" s="120"/>
      <c r="D10" s="120"/>
    </row>
    <row r="11" spans="1:4" x14ac:dyDescent="0.25">
      <c r="A11" s="121" t="str">
        <f>'целевые показатели'!B49</f>
        <v xml:space="preserve">ул.Базовая </v>
      </c>
      <c r="B11" s="119">
        <f>'целевые показатели'!I49</f>
        <v>6061.13562</v>
      </c>
      <c r="C11" s="120"/>
      <c r="D11" s="120"/>
    </row>
    <row r="12" spans="1:4" x14ac:dyDescent="0.25">
      <c r="A12" s="121" t="str">
        <f>'целевые показатели'!B50</f>
        <v xml:space="preserve">ул.Комсомольская в районе д. 95 </v>
      </c>
      <c r="B12" s="119">
        <f>'целевые показатели'!I50</f>
        <v>6500</v>
      </c>
      <c r="C12" s="120"/>
      <c r="D12" s="120"/>
    </row>
    <row r="13" spans="1:4" ht="31.5" x14ac:dyDescent="0.25">
      <c r="A13" s="121" t="str">
        <f>'целевые показатели'!B51</f>
        <v>ул.МОПРа (от ул.Комсомольская до спец.пожарно-спасательной части ФПС по Орловской области)</v>
      </c>
      <c r="B13" s="119">
        <f>'целевые показатели'!I51</f>
        <v>8709.3001899999999</v>
      </c>
      <c r="C13" s="120"/>
      <c r="D13" s="120"/>
    </row>
    <row r="14" spans="1:4" ht="31.5" x14ac:dyDescent="0.25">
      <c r="A14" s="121" t="str">
        <f>'целевые показатели'!B52</f>
        <v>ремонт Комсомольской площади в районе м-на "ГАММА" (ул. Комсомольская д.102)</v>
      </c>
      <c r="B14" s="119">
        <f>'целевые показатели'!I52</f>
        <v>8580.8336600000002</v>
      </c>
      <c r="C14" s="120"/>
      <c r="D14" s="120"/>
    </row>
    <row r="15" spans="1:4" x14ac:dyDescent="0.25">
      <c r="A15" s="121" t="str">
        <f>'целевые показатели'!B53</f>
        <v>ул.Германо</v>
      </c>
      <c r="B15" s="119">
        <f>'целевые показатели'!I53</f>
        <v>15231.91966</v>
      </c>
      <c r="C15" s="827"/>
      <c r="D15" s="827"/>
    </row>
    <row r="16" spans="1:4" x14ac:dyDescent="0.25">
      <c r="A16" s="121" t="str">
        <f>'целевые показатели'!B54</f>
        <v>ул.Березовая</v>
      </c>
      <c r="B16" s="119">
        <f>'целевые показатели'!I54</f>
        <v>13849.912850000001</v>
      </c>
      <c r="C16" s="828"/>
      <c r="D16" s="828"/>
    </row>
    <row r="17" spans="1:4" x14ac:dyDescent="0.25">
      <c r="A17" s="121" t="str">
        <f>'целевые показатели'!B55</f>
        <v>пер.Ремонтный до ул.Паровозная</v>
      </c>
      <c r="B17" s="119">
        <f>'целевые показатели'!I55</f>
        <v>10413.80616</v>
      </c>
      <c r="C17" s="828"/>
      <c r="D17" s="828"/>
    </row>
    <row r="18" spans="1:4" x14ac:dyDescent="0.25">
      <c r="A18" s="121" t="str">
        <f>'целевые показатели'!B57</f>
        <v>устройство остановочных пунктов</v>
      </c>
      <c r="B18" s="119">
        <f>'целевые показатели'!I57</f>
        <v>0</v>
      </c>
      <c r="C18" s="120"/>
      <c r="D18" s="120"/>
    </row>
    <row r="19" spans="1:4" ht="31.5" x14ac:dyDescent="0.25">
      <c r="A19" s="121" t="str">
        <f>'целевые показатели'!B75</f>
        <v>Ремонт ул.Комсомольская (элементы обустройства автомобильных дорог)</v>
      </c>
      <c r="B19" s="119">
        <f>'целевые показатели'!I75</f>
        <v>693.9</v>
      </c>
      <c r="C19" s="120"/>
      <c r="D19" s="120"/>
    </row>
    <row r="20" spans="1:4" ht="31.5" x14ac:dyDescent="0.25">
      <c r="A20" s="121" t="str">
        <f>'целевые показатели'!B76</f>
        <v>Ремонт ул. Октябрьская (элементы обустройства автомобильных дорог)</v>
      </c>
      <c r="B20" s="119">
        <f>'целевые показатели'!I76</f>
        <v>488.3</v>
      </c>
      <c r="C20" s="120"/>
      <c r="D20" s="120"/>
    </row>
    <row r="21" spans="1:4" ht="31.5" x14ac:dyDescent="0.25">
      <c r="A21" s="121" t="str">
        <f>'целевые показатели'!B77</f>
        <v>Ремонт ул. 60-летия Октября (элементы обустройства автомобильных дорог)</v>
      </c>
      <c r="B21" s="119">
        <f>'целевые показатели'!I77</f>
        <v>128.5</v>
      </c>
      <c r="C21" s="120"/>
      <c r="D21" s="120"/>
    </row>
    <row r="22" spans="1:4" ht="31.5" x14ac:dyDescent="0.25">
      <c r="A22" s="121" t="str">
        <f>'целевые показатели'!B78</f>
        <v>Ремонт ул. Герцена (элементы обустройства автомобильных дорог)</v>
      </c>
      <c r="B22" s="119">
        <f>'целевые показатели'!I78</f>
        <v>77.099999999999994</v>
      </c>
      <c r="C22" s="120"/>
      <c r="D22" s="120"/>
    </row>
    <row r="23" spans="1:4" ht="31.5" x14ac:dyDescent="0.25">
      <c r="A23" s="121" t="str">
        <f>'целевые показатели'!B79</f>
        <v>Ремонт ул. Московская (элементы обустройства автомобильных дорог)</v>
      </c>
      <c r="B23" s="119">
        <f>'целевые показатели'!I79</f>
        <v>102.8</v>
      </c>
      <c r="C23" s="120"/>
      <c r="D23" s="120"/>
    </row>
    <row r="24" spans="1:4" ht="31.5" x14ac:dyDescent="0.25">
      <c r="A24" s="121" t="str">
        <f>'целевые показатели'!B82</f>
        <v>Ремонт Московское шоссе (элементы обустройства автомобильных дорог)</v>
      </c>
      <c r="B24" s="119">
        <f>'целевые показатели'!I82</f>
        <v>411.2</v>
      </c>
      <c r="C24" s="120"/>
      <c r="D24" s="120"/>
    </row>
    <row r="25" spans="1:4" ht="31.5" x14ac:dyDescent="0.25">
      <c r="A25" s="121" t="str">
        <f>'целевые показатели'!B83</f>
        <v>Ремонт ул. 5 Августа (элементы обустройства автомобильных дорог)</v>
      </c>
      <c r="B25" s="119">
        <f>'целевые показатели'!I83</f>
        <v>77.099999999999994</v>
      </c>
      <c r="C25" s="120"/>
      <c r="D25" s="120"/>
    </row>
    <row r="26" spans="1:4" ht="31.5" x14ac:dyDescent="0.25">
      <c r="A26" s="121" t="str">
        <f>'целевые показатели'!B84</f>
        <v>Ремонт ул. Горького (элементы обустройства автомобильных дорог)</v>
      </c>
      <c r="B26" s="119">
        <f>'целевые показатели'!I84</f>
        <v>102.8</v>
      </c>
      <c r="C26" s="120"/>
      <c r="D26" s="120"/>
    </row>
    <row r="27" spans="1:4" ht="31.5" x14ac:dyDescent="0.25">
      <c r="A27" s="121" t="str">
        <f>'целевые показатели'!B85</f>
        <v>Ремонт ул. Пушкина (элементы обустройства автомобильных дорог)</v>
      </c>
      <c r="B27" s="119">
        <f>'целевые показатели'!I85</f>
        <v>77.099999999999994</v>
      </c>
      <c r="C27" s="120"/>
      <c r="D27" s="120"/>
    </row>
    <row r="28" spans="1:4" ht="31.5" x14ac:dyDescent="0.25">
      <c r="A28" s="121" t="str">
        <f>'целевые показатели'!B86</f>
        <v>Ремонт ул. Металлургов (элементы обустройства автомобильных дорог)</v>
      </c>
      <c r="B28" s="119">
        <f>'целевые показатели'!I86</f>
        <v>77.099999999999994</v>
      </c>
      <c r="C28" s="120"/>
      <c r="D28" s="120"/>
    </row>
    <row r="29" spans="1:4" ht="31.5" x14ac:dyDescent="0.25">
      <c r="A29" s="121" t="str">
        <f>'целевые показатели'!B87</f>
        <v>Ремонт ул. Лескова (элементы обустройства автомобильных дорог)</v>
      </c>
      <c r="B29" s="119">
        <f>'целевые показатели'!I87</f>
        <v>154.19999999999999</v>
      </c>
      <c r="C29" s="120"/>
      <c r="D29" s="120"/>
    </row>
    <row r="30" spans="1:4" ht="31.5" x14ac:dyDescent="0.25">
      <c r="A30" s="121" t="str">
        <f>'целевые показатели'!B88</f>
        <v>Ремонт Наугорское шоссе (элементы обустройства автомобильных дорог)</v>
      </c>
      <c r="B30" s="119">
        <f>'целевые показатели'!I88</f>
        <v>77.099999999999994</v>
      </c>
      <c r="C30" s="120"/>
      <c r="D30" s="120"/>
    </row>
    <row r="31" spans="1:4" ht="31.5" x14ac:dyDescent="0.25">
      <c r="A31" s="121" t="str">
        <f>'целевые показатели'!B89</f>
        <v>Ремонт Карачевское шоссе (элементы обустройства автомобильных дорог)</v>
      </c>
      <c r="B31" s="119">
        <f>'целевые показатели'!I89</f>
        <v>25.7</v>
      </c>
      <c r="C31" s="120"/>
      <c r="D31" s="120"/>
    </row>
    <row r="32" spans="1:4" ht="31.5" x14ac:dyDescent="0.25">
      <c r="A32" s="121" t="str">
        <f>'целевые показатели'!B90</f>
        <v>Ремонт Новосильское шоссе (элементы обустройства автомобильных дорог)</v>
      </c>
      <c r="B32" s="119">
        <f>'целевые показатели'!I90</f>
        <v>25.7</v>
      </c>
      <c r="C32" s="120"/>
      <c r="D32" s="120"/>
    </row>
    <row r="33" spans="1:4" ht="31.5" x14ac:dyDescent="0.25">
      <c r="A33" s="121" t="str">
        <f>'целевые показатели'!B91</f>
        <v>Ремонт ул. Ливенская (элементы обустройства автомобильных дорог)</v>
      </c>
      <c r="B33" s="119">
        <f>'целевые показатели'!I91</f>
        <v>51.4</v>
      </c>
      <c r="C33" s="120"/>
      <c r="D33" s="120"/>
    </row>
    <row r="34" spans="1:4" x14ac:dyDescent="0.25">
      <c r="A34" s="121" t="e">
        <f>'целевые показатели'!#REF!</f>
        <v>#REF!</v>
      </c>
      <c r="B34" s="119" t="e">
        <f>'целевые показатели'!#REF!</f>
        <v>#REF!</v>
      </c>
      <c r="C34" s="120"/>
      <c r="D34" s="120"/>
    </row>
    <row r="35" spans="1:4" ht="31.5" x14ac:dyDescent="0.25">
      <c r="A35" s="121" t="str">
        <f>'целевые показатели'!B92</f>
        <v>Ремонт ул. Паровозная (элементы обустройства автомобильных дорог)</v>
      </c>
      <c r="B35" s="119">
        <f>'целевые показатели'!I92</f>
        <v>51.4</v>
      </c>
      <c r="C35" s="120"/>
      <c r="D35" s="120"/>
    </row>
    <row r="36" spans="1:4" x14ac:dyDescent="0.25">
      <c r="A36" s="121" t="e">
        <f>'целевые показатели'!#REF!</f>
        <v>#REF!</v>
      </c>
      <c r="B36" s="119" t="e">
        <f>'целевые показатели'!#REF!</f>
        <v>#REF!</v>
      </c>
      <c r="C36" s="120"/>
      <c r="D36" s="120"/>
    </row>
    <row r="37" spans="1:4" ht="31.5" x14ac:dyDescent="0.25">
      <c r="A37" s="121" t="str">
        <f>'целевые показатели'!B93</f>
        <v>Ремонт пер.Маслозаводской (элементы обустройства автомобильных дорог)</v>
      </c>
      <c r="B37" s="119">
        <f>'целевые показатели'!I93</f>
        <v>25.7</v>
      </c>
      <c r="C37" s="120"/>
      <c r="D37" s="120"/>
    </row>
  </sheetData>
  <mergeCells count="4">
    <mergeCell ref="C7:C9"/>
    <mergeCell ref="D7:D9"/>
    <mergeCell ref="C15:C17"/>
    <mergeCell ref="D15:D17"/>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Y493"/>
  <sheetViews>
    <sheetView showWhiteSpace="0" topLeftCell="A493" zoomScale="115" zoomScaleNormal="115" zoomScalePageLayoutView="64" workbookViewId="0">
      <selection activeCell="G493" sqref="G493"/>
    </sheetView>
  </sheetViews>
  <sheetFormatPr defaultRowHeight="15.75" outlineLevelRow="3" x14ac:dyDescent="0.25"/>
  <cols>
    <col min="1" max="1" width="7.7109375" style="85" customWidth="1"/>
    <col min="2" max="2" width="65" style="17" customWidth="1"/>
    <col min="3" max="7" width="19.7109375" style="17" customWidth="1"/>
    <col min="8" max="8" width="24" style="236" customWidth="1"/>
    <col min="9" max="9" width="28.42578125" style="236" customWidth="1"/>
    <col min="10" max="10" width="18.28515625" style="17" customWidth="1"/>
    <col min="11" max="11" width="23" style="17" customWidth="1"/>
    <col min="12" max="12" width="22.28515625" style="17" customWidth="1"/>
    <col min="13" max="13" width="20.140625" style="17" bestFit="1" customWidth="1"/>
    <col min="14" max="14" width="9.140625" style="17"/>
    <col min="15" max="15" width="12.5703125" style="17" bestFit="1" customWidth="1"/>
    <col min="16" max="16384" width="9.140625" style="17"/>
  </cols>
  <sheetData>
    <row r="1" spans="1:14" x14ac:dyDescent="0.25">
      <c r="C1" s="757" t="s">
        <v>266</v>
      </c>
      <c r="D1" s="758"/>
      <c r="E1" s="758"/>
      <c r="F1" s="758"/>
      <c r="G1" s="758"/>
    </row>
    <row r="2" spans="1:14" x14ac:dyDescent="0.25">
      <c r="C2" s="757" t="s">
        <v>135</v>
      </c>
      <c r="D2" s="758"/>
      <c r="E2" s="758"/>
      <c r="F2" s="758"/>
      <c r="G2" s="758"/>
    </row>
    <row r="3" spans="1:14" x14ac:dyDescent="0.25">
      <c r="C3" s="757" t="s">
        <v>125</v>
      </c>
      <c r="D3" s="758"/>
      <c r="E3" s="758"/>
      <c r="F3" s="758"/>
      <c r="G3" s="758"/>
    </row>
    <row r="4" spans="1:14" x14ac:dyDescent="0.25">
      <c r="C4" s="757" t="s">
        <v>433</v>
      </c>
      <c r="D4" s="758"/>
      <c r="E4" s="758"/>
      <c r="F4" s="758"/>
      <c r="G4" s="758"/>
    </row>
    <row r="6" spans="1:14" ht="18.75" x14ac:dyDescent="0.25">
      <c r="A6" s="314"/>
      <c r="B6" s="315"/>
      <c r="C6" s="651" t="s">
        <v>35</v>
      </c>
      <c r="D6" s="651"/>
      <c r="E6" s="651"/>
      <c r="F6" s="651"/>
      <c r="G6" s="651"/>
    </row>
    <row r="7" spans="1:14" ht="18.75" x14ac:dyDescent="0.25">
      <c r="A7" s="314"/>
      <c r="B7" s="315"/>
      <c r="C7" s="759" t="s">
        <v>144</v>
      </c>
      <c r="D7" s="651"/>
      <c r="E7" s="651"/>
      <c r="F7" s="651"/>
      <c r="G7" s="651"/>
    </row>
    <row r="8" spans="1:14" ht="18.75" x14ac:dyDescent="0.25">
      <c r="A8" s="314"/>
      <c r="B8" s="760" t="s">
        <v>87</v>
      </c>
      <c r="C8" s="761"/>
      <c r="D8" s="761"/>
      <c r="E8" s="761"/>
      <c r="F8" s="761"/>
      <c r="G8" s="761"/>
    </row>
    <row r="9" spans="1:14" x14ac:dyDescent="0.25">
      <c r="A9" s="314"/>
      <c r="B9" s="315"/>
      <c r="C9" s="315"/>
      <c r="D9" s="315"/>
      <c r="E9" s="315"/>
      <c r="F9" s="315"/>
      <c r="G9" s="315"/>
    </row>
    <row r="10" spans="1:14" ht="21" x14ac:dyDescent="0.25">
      <c r="A10" s="223"/>
      <c r="B10" s="315"/>
      <c r="C10" s="315"/>
      <c r="D10" s="315"/>
      <c r="E10" s="315"/>
      <c r="F10" s="315"/>
      <c r="G10" s="315"/>
      <c r="K10" s="127"/>
      <c r="L10" s="317"/>
      <c r="M10" s="317"/>
      <c r="N10" s="317"/>
    </row>
    <row r="11" spans="1:14" ht="21" x14ac:dyDescent="0.25">
      <c r="A11" s="651" t="s">
        <v>36</v>
      </c>
      <c r="B11" s="651"/>
      <c r="C11" s="651"/>
      <c r="D11" s="651"/>
      <c r="E11" s="651"/>
      <c r="F11" s="651"/>
      <c r="G11" s="651"/>
      <c r="K11" s="127"/>
      <c r="L11" s="317"/>
      <c r="M11" s="317"/>
      <c r="N11" s="317"/>
    </row>
    <row r="12" spans="1:14" ht="21" x14ac:dyDescent="0.25">
      <c r="A12" s="651" t="s">
        <v>150</v>
      </c>
      <c r="B12" s="651"/>
      <c r="C12" s="651"/>
      <c r="D12" s="651"/>
      <c r="E12" s="651"/>
      <c r="F12" s="651"/>
      <c r="G12" s="651"/>
      <c r="J12" s="86"/>
      <c r="K12" s="127"/>
      <c r="L12" s="317"/>
      <c r="M12" s="317"/>
      <c r="N12" s="317"/>
    </row>
    <row r="13" spans="1:14" ht="21" x14ac:dyDescent="0.25">
      <c r="A13" s="651" t="s">
        <v>149</v>
      </c>
      <c r="B13" s="651"/>
      <c r="C13" s="651"/>
      <c r="D13" s="651"/>
      <c r="E13" s="651"/>
      <c r="F13" s="651"/>
      <c r="G13" s="651"/>
      <c r="J13" s="86"/>
      <c r="K13" s="127"/>
      <c r="L13" s="317"/>
      <c r="M13" s="317"/>
      <c r="N13" s="317"/>
    </row>
    <row r="14" spans="1:14" ht="16.5" thickBot="1" x14ac:dyDescent="0.3">
      <c r="A14" s="3"/>
      <c r="B14" s="315"/>
      <c r="C14" s="315"/>
      <c r="D14" s="315"/>
      <c r="E14" s="315"/>
      <c r="F14" s="315"/>
      <c r="G14" s="315"/>
    </row>
    <row r="15" spans="1:14" ht="28.5" x14ac:dyDescent="0.25">
      <c r="A15" s="765" t="s">
        <v>37</v>
      </c>
      <c r="B15" s="767" t="s">
        <v>38</v>
      </c>
      <c r="C15" s="318" t="s">
        <v>39</v>
      </c>
      <c r="D15" s="767" t="s">
        <v>40</v>
      </c>
      <c r="E15" s="767" t="s">
        <v>516</v>
      </c>
      <c r="F15" s="767" t="s">
        <v>736</v>
      </c>
      <c r="G15" s="769" t="s">
        <v>41</v>
      </c>
    </row>
    <row r="16" spans="1:14" ht="26.25" customHeight="1" x14ac:dyDescent="0.25">
      <c r="A16" s="766"/>
      <c r="B16" s="768"/>
      <c r="C16" s="320" t="s">
        <v>42</v>
      </c>
      <c r="D16" s="768"/>
      <c r="E16" s="768"/>
      <c r="F16" s="768"/>
      <c r="G16" s="770"/>
    </row>
    <row r="17" spans="1:13" x14ac:dyDescent="0.25">
      <c r="A17" s="319" t="s">
        <v>43</v>
      </c>
      <c r="B17" s="320">
        <v>2</v>
      </c>
      <c r="C17" s="320">
        <v>3</v>
      </c>
      <c r="D17" s="320">
        <v>4</v>
      </c>
      <c r="E17" s="320">
        <v>5</v>
      </c>
      <c r="F17" s="320">
        <v>6</v>
      </c>
      <c r="G17" s="224">
        <v>7</v>
      </c>
    </row>
    <row r="18" spans="1:13" ht="18" customHeight="1" outlineLevel="1" x14ac:dyDescent="0.25">
      <c r="A18" s="762" t="s">
        <v>6</v>
      </c>
      <c r="B18" s="763"/>
      <c r="C18" s="763"/>
      <c r="D18" s="763"/>
      <c r="E18" s="763"/>
      <c r="F18" s="763"/>
      <c r="G18" s="764"/>
      <c r="I18" s="236">
        <f>1027438.7</f>
        <v>1027438.7</v>
      </c>
      <c r="J18" s="17" t="s">
        <v>409</v>
      </c>
    </row>
    <row r="19" spans="1:13" outlineLevel="1" x14ac:dyDescent="0.25">
      <c r="A19" s="319">
        <v>1</v>
      </c>
      <c r="B19" s="321" t="s">
        <v>44</v>
      </c>
      <c r="C19" s="322">
        <f>SUM(C21:C31)</f>
        <v>1062659.9307446496</v>
      </c>
      <c r="D19" s="322">
        <f>SUM(D21:D31)</f>
        <v>0</v>
      </c>
      <c r="E19" s="322">
        <f>SUM(E21:E31)</f>
        <v>0</v>
      </c>
      <c r="F19" s="322">
        <f>SUM(F21:F31)</f>
        <v>1039640.6447488029</v>
      </c>
      <c r="G19" s="323">
        <f>SUM(G21:G31)</f>
        <v>23019.285995846807</v>
      </c>
    </row>
    <row r="20" spans="1:13" outlineLevel="1" x14ac:dyDescent="0.25">
      <c r="A20" s="324" t="s">
        <v>45</v>
      </c>
      <c r="B20" s="325" t="s">
        <v>168</v>
      </c>
      <c r="C20" s="326">
        <v>851316.32318794972</v>
      </c>
      <c r="D20" s="327">
        <v>0</v>
      </c>
      <c r="E20" s="327">
        <v>0</v>
      </c>
      <c r="F20" s="327">
        <v>835305.12830766989</v>
      </c>
      <c r="G20" s="328">
        <v>16011.194880279811</v>
      </c>
      <c r="J20" s="329"/>
    </row>
    <row r="21" spans="1:13" s="334" customFormat="1" ht="15.75" customHeight="1" outlineLevel="1" x14ac:dyDescent="0.25">
      <c r="A21" s="330" t="s">
        <v>172</v>
      </c>
      <c r="B21" s="241" t="s">
        <v>169</v>
      </c>
      <c r="C21" s="242">
        <v>20000</v>
      </c>
      <c r="D21" s="331">
        <v>0</v>
      </c>
      <c r="E21" s="331">
        <v>0</v>
      </c>
      <c r="F21" s="331">
        <v>19800</v>
      </c>
      <c r="G21" s="332">
        <v>200</v>
      </c>
      <c r="H21" s="333"/>
      <c r="I21" s="626">
        <v>12000</v>
      </c>
    </row>
    <row r="22" spans="1:13" s="334" customFormat="1" ht="31.5" outlineLevel="1" x14ac:dyDescent="0.25">
      <c r="A22" s="330" t="s">
        <v>173</v>
      </c>
      <c r="B22" s="241" t="s">
        <v>178</v>
      </c>
      <c r="C22" s="242">
        <v>100873.39939999999</v>
      </c>
      <c r="D22" s="331">
        <v>0</v>
      </c>
      <c r="E22" s="331">
        <v>0</v>
      </c>
      <c r="F22" s="331">
        <v>99864.665406</v>
      </c>
      <c r="G22" s="332">
        <v>1008.7339939999947</v>
      </c>
      <c r="H22" s="333"/>
      <c r="I22" s="626">
        <f>I21/99</f>
        <v>121.21212121212122</v>
      </c>
      <c r="J22" s="335"/>
    </row>
    <row r="23" spans="1:13" s="334" customFormat="1" ht="31.5" outlineLevel="1" x14ac:dyDescent="0.25">
      <c r="A23" s="330" t="s">
        <v>174</v>
      </c>
      <c r="B23" s="241" t="s">
        <v>170</v>
      </c>
      <c r="C23" s="242">
        <v>4025.17166</v>
      </c>
      <c r="D23" s="331">
        <v>0</v>
      </c>
      <c r="E23" s="331">
        <v>0</v>
      </c>
      <c r="F23" s="331">
        <v>3984.9199433999997</v>
      </c>
      <c r="G23" s="332">
        <v>40.251716600000236</v>
      </c>
      <c r="H23" s="333"/>
      <c r="I23" s="626">
        <f>I21+I22</f>
        <v>12121.212121212122</v>
      </c>
      <c r="J23" s="335"/>
      <c r="K23" s="335"/>
    </row>
    <row r="24" spans="1:13" s="334" customFormat="1" ht="47.25" outlineLevel="1" x14ac:dyDescent="0.25">
      <c r="A24" s="330" t="s">
        <v>175</v>
      </c>
      <c r="B24" s="336" t="s">
        <v>649</v>
      </c>
      <c r="C24" s="242">
        <v>141.96841000000001</v>
      </c>
      <c r="D24" s="331">
        <v>0</v>
      </c>
      <c r="E24" s="331">
        <v>0</v>
      </c>
      <c r="F24" s="331">
        <v>0</v>
      </c>
      <c r="G24" s="337">
        <v>141.96841000000001</v>
      </c>
      <c r="H24" s="333"/>
      <c r="I24" s="333"/>
      <c r="J24" s="335">
        <f>(J27/1000)-J27-J25</f>
        <v>-40702949.219999999</v>
      </c>
      <c r="K24" s="335" t="s">
        <v>407</v>
      </c>
    </row>
    <row r="25" spans="1:13" s="334" customFormat="1" ht="15.75" customHeight="1" outlineLevel="1" x14ac:dyDescent="0.25">
      <c r="A25" s="330" t="s">
        <v>390</v>
      </c>
      <c r="B25" s="241" t="s">
        <v>171</v>
      </c>
      <c r="C25" s="242">
        <v>726275.78371794976</v>
      </c>
      <c r="D25" s="331">
        <v>0</v>
      </c>
      <c r="E25" s="331">
        <v>0</v>
      </c>
      <c r="F25" s="331">
        <v>711655.54295826994</v>
      </c>
      <c r="G25" s="332">
        <v>14620.240759679815</v>
      </c>
      <c r="H25" s="338"/>
      <c r="I25" s="338"/>
      <c r="J25" s="339">
        <f>5807.1</f>
        <v>5807.1</v>
      </c>
      <c r="K25" s="335"/>
    </row>
    <row r="26" spans="1:13" outlineLevel="1" x14ac:dyDescent="0.25">
      <c r="A26" s="324" t="s">
        <v>46</v>
      </c>
      <c r="B26" s="325" t="s">
        <v>177</v>
      </c>
      <c r="C26" s="326">
        <v>42266.778424700002</v>
      </c>
      <c r="D26" s="327">
        <v>0</v>
      </c>
      <c r="E26" s="327">
        <v>0</v>
      </c>
      <c r="F26" s="327">
        <v>41844.110640453</v>
      </c>
      <c r="G26" s="328">
        <v>422.66778424700169</v>
      </c>
      <c r="H26" s="338"/>
      <c r="J26" s="329">
        <v>31981.78</v>
      </c>
    </row>
    <row r="27" spans="1:13" ht="16.5" outlineLevel="1" x14ac:dyDescent="0.25">
      <c r="A27" s="324" t="s">
        <v>47</v>
      </c>
      <c r="B27" s="340" t="s">
        <v>186</v>
      </c>
      <c r="C27" s="326">
        <v>116193.90360000001</v>
      </c>
      <c r="D27" s="327">
        <v>0</v>
      </c>
      <c r="E27" s="327">
        <v>0</v>
      </c>
      <c r="F27" s="327">
        <v>115031.96456400001</v>
      </c>
      <c r="G27" s="328">
        <v>1161.9390359999961</v>
      </c>
      <c r="H27" s="338"/>
      <c r="I27" s="236">
        <f>H27*0.99</f>
        <v>0</v>
      </c>
      <c r="J27" s="341">
        <v>40737880</v>
      </c>
      <c r="K27" s="342" t="s">
        <v>386</v>
      </c>
    </row>
    <row r="28" spans="1:13" ht="47.25" outlineLevel="1" x14ac:dyDescent="0.25">
      <c r="A28" s="324" t="s">
        <v>48</v>
      </c>
      <c r="B28" s="18" t="s">
        <v>176</v>
      </c>
      <c r="C28" s="326">
        <f>16412.286012+12121.21212</f>
        <v>28533.498132000001</v>
      </c>
      <c r="D28" s="327">
        <v>0</v>
      </c>
      <c r="E28" s="327">
        <v>0</v>
      </c>
      <c r="F28" s="343">
        <f>C28*0.99</f>
        <v>28248.16315068</v>
      </c>
      <c r="G28" s="328">
        <f>C28-F28</f>
        <v>285.33498132000022</v>
      </c>
      <c r="H28" s="338"/>
      <c r="I28" s="59"/>
      <c r="J28" s="316">
        <v>8278.7726999999995</v>
      </c>
      <c r="K28" s="237"/>
    </row>
    <row r="29" spans="1:13" ht="31.5" outlineLevel="1" x14ac:dyDescent="0.25">
      <c r="A29" s="324" t="s">
        <v>49</v>
      </c>
      <c r="B29" s="344" t="s">
        <v>25</v>
      </c>
      <c r="C29" s="326">
        <v>9090.9090899999992</v>
      </c>
      <c r="D29" s="327">
        <v>0</v>
      </c>
      <c r="E29" s="327">
        <v>0</v>
      </c>
      <c r="F29" s="327">
        <v>8999.9999990999986</v>
      </c>
      <c r="G29" s="328">
        <v>90.909090900000592</v>
      </c>
      <c r="H29" s="338"/>
      <c r="I29" s="345"/>
      <c r="J29" s="346">
        <f>K33-J32</f>
        <v>4.7000357881188393E-6</v>
      </c>
      <c r="K29" s="755" t="s">
        <v>389</v>
      </c>
      <c r="L29" s="756"/>
    </row>
    <row r="30" spans="1:13" ht="16.5" outlineLevel="1" x14ac:dyDescent="0.25">
      <c r="A30" s="324" t="s">
        <v>190</v>
      </c>
      <c r="B30" s="347" t="s">
        <v>154</v>
      </c>
      <c r="C30" s="326">
        <v>4944.0959999999995</v>
      </c>
      <c r="D30" s="327">
        <v>0</v>
      </c>
      <c r="E30" s="327">
        <v>0</v>
      </c>
      <c r="F30" s="327">
        <v>0</v>
      </c>
      <c r="G30" s="328">
        <v>4944.0959999999995</v>
      </c>
      <c r="J30" s="237">
        <f>J29/0.95</f>
        <v>4.9474060927566731E-6</v>
      </c>
      <c r="K30" s="237"/>
    </row>
    <row r="31" spans="1:13" ht="16.5" outlineLevel="1" x14ac:dyDescent="0.25">
      <c r="A31" s="324" t="s">
        <v>190</v>
      </c>
      <c r="B31" s="229" t="s">
        <v>73</v>
      </c>
      <c r="C31" s="326">
        <v>10314.42231</v>
      </c>
      <c r="D31" s="327">
        <v>0</v>
      </c>
      <c r="E31" s="327">
        <v>0</v>
      </c>
      <c r="F31" s="327">
        <v>10211.2780869</v>
      </c>
      <c r="G31" s="328">
        <v>103.14422310000009</v>
      </c>
      <c r="I31" s="348"/>
      <c r="J31" s="346"/>
      <c r="K31" s="349"/>
      <c r="M31" s="346"/>
    </row>
    <row r="32" spans="1:13" ht="31.5" outlineLevel="1" x14ac:dyDescent="0.25">
      <c r="A32" s="319" t="s">
        <v>50</v>
      </c>
      <c r="B32" s="321" t="s">
        <v>15</v>
      </c>
      <c r="C32" s="322">
        <f>SUM(C33:C81)</f>
        <v>226895.60840999999</v>
      </c>
      <c r="D32" s="322">
        <f>SUM(D33:D80)</f>
        <v>0</v>
      </c>
      <c r="E32" s="322">
        <f>SUM(E33:E80)</f>
        <v>0</v>
      </c>
      <c r="F32" s="322">
        <f>SUM(F33:F81)</f>
        <v>215554.46233860002</v>
      </c>
      <c r="G32" s="323">
        <f>SUM(G33:G81)</f>
        <v>11341.146071400002</v>
      </c>
      <c r="H32" s="236">
        <f>'целевые показатели'!I41</f>
        <v>226895.60840999999</v>
      </c>
      <c r="I32" s="348" t="s">
        <v>388</v>
      </c>
      <c r="J32" s="350">
        <f>F32+F128</f>
        <v>342034.51999529998</v>
      </c>
      <c r="K32" s="349"/>
      <c r="L32" s="349"/>
      <c r="M32" s="349"/>
    </row>
    <row r="33" spans="1:15" ht="16.5" outlineLevel="1" x14ac:dyDescent="0.25">
      <c r="A33" s="351" t="s">
        <v>57</v>
      </c>
      <c r="B33" s="229" t="str">
        <f>'целевые показатели'!B44</f>
        <v>ремонт моста "Тургеневский" через р.Орлик</v>
      </c>
      <c r="C33" s="326">
        <v>12505.798720000001</v>
      </c>
      <c r="D33" s="327">
        <v>0</v>
      </c>
      <c r="E33" s="327">
        <v>0</v>
      </c>
      <c r="F33" s="327">
        <v>12380.740732800001</v>
      </c>
      <c r="G33" s="328">
        <v>125.05798719999984</v>
      </c>
      <c r="J33" s="85" t="s">
        <v>269</v>
      </c>
      <c r="K33" s="352">
        <f>382772.4-40737.88</f>
        <v>342034.52</v>
      </c>
      <c r="L33" s="237" t="s">
        <v>387</v>
      </c>
      <c r="M33" s="349"/>
      <c r="O33" s="350"/>
    </row>
    <row r="34" spans="1:15" ht="16.5" outlineLevel="1" x14ac:dyDescent="0.25">
      <c r="A34" s="351" t="s">
        <v>58</v>
      </c>
      <c r="B34" s="229" t="s">
        <v>151</v>
      </c>
      <c r="C34" s="326">
        <v>38647.63392</v>
      </c>
      <c r="D34" s="327">
        <v>0</v>
      </c>
      <c r="E34" s="327">
        <v>0</v>
      </c>
      <c r="F34" s="327">
        <v>38261.157580799998</v>
      </c>
      <c r="G34" s="328">
        <v>386.47633920000226</v>
      </c>
      <c r="J34" s="353"/>
      <c r="K34" s="354">
        <f>K33+J27/1000</f>
        <v>382772.4</v>
      </c>
    </row>
    <row r="35" spans="1:15" ht="19.5" customHeight="1" outlineLevel="1" x14ac:dyDescent="0.25">
      <c r="A35" s="351" t="s">
        <v>59</v>
      </c>
      <c r="B35" s="229" t="s">
        <v>152</v>
      </c>
      <c r="C35" s="326">
        <v>9261.9189200000001</v>
      </c>
      <c r="D35" s="327">
        <v>0</v>
      </c>
      <c r="E35" s="327">
        <v>0</v>
      </c>
      <c r="F35" s="327">
        <v>9169.2997307999995</v>
      </c>
      <c r="G35" s="328">
        <v>92.619189200000619</v>
      </c>
      <c r="J35" s="353"/>
      <c r="K35" s="350"/>
      <c r="L35" s="350"/>
      <c r="M35" s="350"/>
    </row>
    <row r="36" spans="1:15" s="359" customFormat="1" ht="33" outlineLevel="1" x14ac:dyDescent="0.25">
      <c r="A36" s="351" t="s">
        <v>60</v>
      </c>
      <c r="B36" s="229" t="s">
        <v>270</v>
      </c>
      <c r="C36" s="326">
        <v>11337.800439999992</v>
      </c>
      <c r="D36" s="355">
        <v>0</v>
      </c>
      <c r="E36" s="355">
        <v>0</v>
      </c>
      <c r="F36" s="355">
        <v>11224.422435599992</v>
      </c>
      <c r="G36" s="356">
        <v>113.37800439999955</v>
      </c>
      <c r="H36" s="357"/>
      <c r="I36" s="357"/>
      <c r="J36" s="358"/>
      <c r="K36" s="358"/>
      <c r="L36" s="358"/>
    </row>
    <row r="37" spans="1:15" ht="16.5" outlineLevel="1" x14ac:dyDescent="0.25">
      <c r="A37" s="351" t="s">
        <v>61</v>
      </c>
      <c r="B37" s="229" t="str">
        <f>'целевые показатели'!B48</f>
        <v>Кромской проезд</v>
      </c>
      <c r="C37" s="326">
        <v>1703.5781199999999</v>
      </c>
      <c r="D37" s="327">
        <v>0</v>
      </c>
      <c r="E37" s="327">
        <v>0</v>
      </c>
      <c r="F37" s="327">
        <v>1686.5423387999999</v>
      </c>
      <c r="G37" s="328">
        <v>17.035781199999974</v>
      </c>
      <c r="J37" s="237"/>
      <c r="K37" s="237"/>
    </row>
    <row r="38" spans="1:15" ht="16.5" outlineLevel="1" x14ac:dyDescent="0.25">
      <c r="A38" s="351">
        <v>45475</v>
      </c>
      <c r="B38" s="229" t="str">
        <f>'целевые показатели'!B49</f>
        <v xml:space="preserve">ул.Базовая </v>
      </c>
      <c r="C38" s="361">
        <v>6061.13562</v>
      </c>
      <c r="D38" s="327">
        <v>0</v>
      </c>
      <c r="E38" s="327">
        <v>0</v>
      </c>
      <c r="F38" s="327">
        <v>6000.5242638</v>
      </c>
      <c r="G38" s="328">
        <v>60.611356200000046</v>
      </c>
      <c r="J38" s="237"/>
      <c r="K38" s="237"/>
    </row>
    <row r="39" spans="1:15" s="364" customFormat="1" ht="16.5" outlineLevel="1" x14ac:dyDescent="0.25">
      <c r="A39" s="351" t="s">
        <v>62</v>
      </c>
      <c r="B39" s="229" t="str">
        <f>'целевые показатели'!B50</f>
        <v xml:space="preserve">ул.Комсомольская в районе д. 95 </v>
      </c>
      <c r="C39" s="361">
        <v>6500</v>
      </c>
      <c r="D39" s="327">
        <v>0</v>
      </c>
      <c r="E39" s="327">
        <v>0</v>
      </c>
      <c r="F39" s="327">
        <v>6435</v>
      </c>
      <c r="G39" s="328">
        <v>65</v>
      </c>
      <c r="H39" s="236"/>
      <c r="I39" s="236"/>
      <c r="J39" s="362"/>
      <c r="K39" s="363"/>
    </row>
    <row r="40" spans="1:15" ht="33" outlineLevel="1" x14ac:dyDescent="0.25">
      <c r="A40" s="351" t="s">
        <v>63</v>
      </c>
      <c r="B40" s="229" t="str">
        <f>'целевые показатели'!B51</f>
        <v>ул.МОПРа (от ул.Комсомольская до спец.пожарно-спасательной части ФПС по Орловской области)</v>
      </c>
      <c r="C40" s="326">
        <v>8709.3001899999999</v>
      </c>
      <c r="D40" s="327">
        <v>0</v>
      </c>
      <c r="E40" s="327">
        <v>0</v>
      </c>
      <c r="F40" s="327">
        <v>8622.2071880999993</v>
      </c>
      <c r="G40" s="328">
        <v>87.093001900000672</v>
      </c>
      <c r="J40" s="362"/>
      <c r="K40" s="365"/>
      <c r="L40" s="236"/>
      <c r="M40" s="236"/>
      <c r="N40" s="236"/>
      <c r="O40" s="236"/>
    </row>
    <row r="41" spans="1:15" ht="33" outlineLevel="1" x14ac:dyDescent="0.25">
      <c r="A41" s="351" t="s">
        <v>64</v>
      </c>
      <c r="B41" s="229" t="str">
        <f>'целевые показатели'!B52</f>
        <v>ремонт Комсомольской площади в районе м-на "ГАММА" (ул. Комсомольская д.102)</v>
      </c>
      <c r="C41" s="326">
        <v>8580.8336600000002</v>
      </c>
      <c r="D41" s="327">
        <v>0</v>
      </c>
      <c r="E41" s="327">
        <v>0</v>
      </c>
      <c r="F41" s="327">
        <v>8495.0253233999993</v>
      </c>
      <c r="G41" s="328">
        <v>85.808336600000985</v>
      </c>
      <c r="J41" s="236"/>
      <c r="K41" s="236"/>
      <c r="L41" s="236"/>
      <c r="M41" s="236"/>
      <c r="N41" s="236"/>
      <c r="O41" s="236"/>
    </row>
    <row r="42" spans="1:15" ht="16.5" outlineLevel="1" x14ac:dyDescent="0.25">
      <c r="A42" s="351" t="s">
        <v>65</v>
      </c>
      <c r="B42" s="229" t="str">
        <f>'целевые показатели'!B53</f>
        <v>ул.Германо</v>
      </c>
      <c r="C42" s="326">
        <v>15231.91966</v>
      </c>
      <c r="D42" s="327">
        <v>0</v>
      </c>
      <c r="E42" s="327">
        <v>0</v>
      </c>
      <c r="F42" s="327">
        <v>15079.6004634</v>
      </c>
      <c r="G42" s="328">
        <v>152.31919659999949</v>
      </c>
      <c r="J42" s="236"/>
      <c r="K42" s="236"/>
      <c r="L42" s="236"/>
      <c r="M42" s="236"/>
      <c r="N42" s="236"/>
      <c r="O42" s="236"/>
    </row>
    <row r="43" spans="1:15" ht="16.5" outlineLevel="1" x14ac:dyDescent="0.25">
      <c r="A43" s="351" t="s">
        <v>66</v>
      </c>
      <c r="B43" s="229" t="str">
        <f>'целевые показатели'!B54</f>
        <v>ул.Березовая</v>
      </c>
      <c r="C43" s="326">
        <v>13849.912850000001</v>
      </c>
      <c r="D43" s="327">
        <v>0</v>
      </c>
      <c r="E43" s="327">
        <v>0</v>
      </c>
      <c r="F43" s="327">
        <v>13711.413721500001</v>
      </c>
      <c r="G43" s="328">
        <v>138.49912849999964</v>
      </c>
      <c r="J43" s="236"/>
      <c r="K43" s="236"/>
      <c r="L43" s="236"/>
      <c r="M43" s="236"/>
      <c r="N43" s="236"/>
      <c r="O43" s="236"/>
    </row>
    <row r="44" spans="1:15" ht="16.5" outlineLevel="1" x14ac:dyDescent="0.25">
      <c r="A44" s="351" t="s">
        <v>67</v>
      </c>
      <c r="B44" s="229" t="str">
        <f>'целевые показатели'!B55</f>
        <v>пер.Ремонтный до ул.Паровозная</v>
      </c>
      <c r="C44" s="326">
        <v>10413.80616</v>
      </c>
      <c r="D44" s="327">
        <v>0</v>
      </c>
      <c r="E44" s="327">
        <v>0</v>
      </c>
      <c r="F44" s="327">
        <v>10309.6680984</v>
      </c>
      <c r="G44" s="328">
        <v>104.13806160000058</v>
      </c>
      <c r="J44" s="236"/>
      <c r="K44" s="236"/>
      <c r="L44" s="236"/>
      <c r="M44" s="236"/>
      <c r="N44" s="236"/>
      <c r="O44" s="236"/>
    </row>
    <row r="45" spans="1:15" s="342" customFormat="1" ht="120.75" customHeight="1" outlineLevel="1" x14ac:dyDescent="0.25">
      <c r="A45" s="351" t="s">
        <v>203</v>
      </c>
      <c r="B45" s="347" t="s">
        <v>411</v>
      </c>
      <c r="C45" s="326">
        <v>4069.5383900000002</v>
      </c>
      <c r="D45" s="343">
        <v>0</v>
      </c>
      <c r="E45" s="343">
        <v>0</v>
      </c>
      <c r="F45" s="343">
        <v>0</v>
      </c>
      <c r="G45" s="239">
        <v>4069.5383900000002</v>
      </c>
      <c r="H45" s="238" t="s">
        <v>158</v>
      </c>
      <c r="I45" s="238"/>
      <c r="J45" s="238"/>
      <c r="K45" s="236"/>
      <c r="L45" s="238"/>
      <c r="M45" s="238"/>
      <c r="N45" s="238"/>
      <c r="O45" s="238"/>
    </row>
    <row r="46" spans="1:15" s="342" customFormat="1" ht="33" hidden="1" outlineLevel="2" x14ac:dyDescent="0.25">
      <c r="A46" s="351"/>
      <c r="B46" s="366" t="str">
        <f>'целевые показатели'!B75</f>
        <v>Ремонт ул.Комсомольская (элементы обустройства автомобильных дорог)</v>
      </c>
      <c r="C46" s="326">
        <v>0</v>
      </c>
      <c r="D46" s="327">
        <v>0</v>
      </c>
      <c r="E46" s="327">
        <v>0</v>
      </c>
      <c r="F46" s="327">
        <v>0</v>
      </c>
      <c r="G46" s="328">
        <v>0</v>
      </c>
      <c r="H46" s="238"/>
      <c r="I46" s="238"/>
      <c r="J46" s="238"/>
      <c r="K46" s="236"/>
      <c r="L46" s="238"/>
      <c r="M46" s="238"/>
      <c r="N46" s="238"/>
      <c r="O46" s="238"/>
    </row>
    <row r="47" spans="1:15" s="342" customFormat="1" ht="33" outlineLevel="1" collapsed="1" x14ac:dyDescent="0.25">
      <c r="A47" s="351" t="s">
        <v>400</v>
      </c>
      <c r="B47" s="366" t="str">
        <f>'целевые показатели'!B75</f>
        <v>Ремонт ул.Комсомольская (элементы обустройства автомобильных дорог)</v>
      </c>
      <c r="C47" s="326">
        <v>693.9</v>
      </c>
      <c r="D47" s="327">
        <v>0</v>
      </c>
      <c r="E47" s="327">
        <v>0</v>
      </c>
      <c r="F47" s="327">
        <v>686.96100000000001</v>
      </c>
      <c r="G47" s="328">
        <v>6.9389999999999645</v>
      </c>
      <c r="H47" s="238"/>
      <c r="I47" s="238"/>
      <c r="J47" s="238"/>
      <c r="K47" s="236"/>
      <c r="L47" s="238"/>
      <c r="M47" s="238"/>
      <c r="N47" s="238"/>
      <c r="O47" s="238"/>
    </row>
    <row r="48" spans="1:15" s="342" customFormat="1" ht="33" outlineLevel="1" x14ac:dyDescent="0.25">
      <c r="A48" s="351" t="s">
        <v>204</v>
      </c>
      <c r="B48" s="366" t="str">
        <f>'целевые показатели'!B76</f>
        <v>Ремонт ул. Октябрьская (элементы обустройства автомобильных дорог)</v>
      </c>
      <c r="C48" s="326">
        <v>488.3</v>
      </c>
      <c r="D48" s="327">
        <v>0</v>
      </c>
      <c r="E48" s="327">
        <v>0</v>
      </c>
      <c r="F48" s="327">
        <v>483.41700000000003</v>
      </c>
      <c r="G48" s="328">
        <v>4.8829999999999814</v>
      </c>
      <c r="H48" s="238"/>
      <c r="I48" s="238"/>
      <c r="J48" s="238"/>
      <c r="K48" s="236"/>
      <c r="L48" s="238"/>
      <c r="M48" s="238"/>
      <c r="N48" s="238"/>
      <c r="O48" s="238"/>
    </row>
    <row r="49" spans="1:15" s="342" customFormat="1" ht="33" outlineLevel="1" x14ac:dyDescent="0.25">
      <c r="A49" s="351" t="s">
        <v>205</v>
      </c>
      <c r="B49" s="366" t="str">
        <f>'целевые показатели'!B77</f>
        <v>Ремонт ул. 60-летия Октября (элементы обустройства автомобильных дорог)</v>
      </c>
      <c r="C49" s="326">
        <v>128.5</v>
      </c>
      <c r="D49" s="327">
        <v>0</v>
      </c>
      <c r="E49" s="327">
        <v>0</v>
      </c>
      <c r="F49" s="327">
        <v>127.215</v>
      </c>
      <c r="G49" s="328">
        <v>1.2849999999999966</v>
      </c>
      <c r="H49" s="238"/>
      <c r="I49" s="238"/>
      <c r="J49" s="238"/>
      <c r="K49" s="236"/>
      <c r="L49" s="238"/>
      <c r="M49" s="238"/>
      <c r="N49" s="238"/>
      <c r="O49" s="238"/>
    </row>
    <row r="50" spans="1:15" s="342" customFormat="1" ht="33" outlineLevel="1" x14ac:dyDescent="0.25">
      <c r="A50" s="351" t="s">
        <v>213</v>
      </c>
      <c r="B50" s="366" t="str">
        <f>'целевые показатели'!B88</f>
        <v>Ремонт Наугорское шоссе (элементы обустройства автомобильных дорог)</v>
      </c>
      <c r="C50" s="367">
        <v>77.099999999999994</v>
      </c>
      <c r="D50" s="343">
        <v>0</v>
      </c>
      <c r="E50" s="327">
        <v>0</v>
      </c>
      <c r="F50" s="343">
        <v>76.328999999999994</v>
      </c>
      <c r="G50" s="239">
        <v>0.7710000000000008</v>
      </c>
      <c r="H50" s="238"/>
      <c r="I50" s="238"/>
      <c r="J50" s="238"/>
      <c r="K50" s="236"/>
      <c r="L50" s="238"/>
      <c r="M50" s="238"/>
      <c r="N50" s="238"/>
      <c r="O50" s="238"/>
    </row>
    <row r="51" spans="1:15" s="342" customFormat="1" ht="33" outlineLevel="1" x14ac:dyDescent="0.25">
      <c r="A51" s="351" t="s">
        <v>214</v>
      </c>
      <c r="B51" s="366" t="str">
        <f>'целевые показатели'!B89</f>
        <v>Ремонт Карачевское шоссе (элементы обустройства автомобильных дорог)</v>
      </c>
      <c r="C51" s="367">
        <v>102.8</v>
      </c>
      <c r="D51" s="343">
        <v>0</v>
      </c>
      <c r="E51" s="327">
        <v>0</v>
      </c>
      <c r="F51" s="343">
        <v>101.77199999999999</v>
      </c>
      <c r="G51" s="239">
        <v>1.0280000000000058</v>
      </c>
      <c r="H51" s="238"/>
      <c r="I51" s="238"/>
      <c r="J51" s="238"/>
      <c r="K51" s="236"/>
      <c r="L51" s="238"/>
      <c r="M51" s="238"/>
      <c r="N51" s="238"/>
      <c r="O51" s="238"/>
    </row>
    <row r="52" spans="1:15" s="342" customFormat="1" ht="33" outlineLevel="1" x14ac:dyDescent="0.25">
      <c r="A52" s="351" t="s">
        <v>215</v>
      </c>
      <c r="B52" s="366" t="str">
        <f>'целевые показатели'!B92</f>
        <v>Ремонт ул. Паровозная (элементы обустройства автомобильных дорог)</v>
      </c>
      <c r="C52" s="367">
        <v>411.2</v>
      </c>
      <c r="D52" s="343">
        <v>0</v>
      </c>
      <c r="E52" s="327">
        <v>0</v>
      </c>
      <c r="F52" s="343">
        <v>407.08799999999997</v>
      </c>
      <c r="G52" s="239">
        <v>4.1120000000000232</v>
      </c>
      <c r="H52" s="238"/>
      <c r="I52" s="238"/>
      <c r="J52" s="238"/>
      <c r="K52" s="238"/>
      <c r="L52" s="238"/>
      <c r="M52" s="238"/>
      <c r="N52" s="238"/>
      <c r="O52" s="238"/>
    </row>
    <row r="53" spans="1:15" s="342" customFormat="1" ht="33" outlineLevel="1" x14ac:dyDescent="0.25">
      <c r="A53" s="351" t="s">
        <v>347</v>
      </c>
      <c r="B53" s="366" t="str">
        <f>'целевые показатели'!B93</f>
        <v>Ремонт пер.Маслозаводской (элементы обустройства автомобильных дорог)</v>
      </c>
      <c r="C53" s="367">
        <v>77.099999999999994</v>
      </c>
      <c r="D53" s="343">
        <v>0</v>
      </c>
      <c r="E53" s="327">
        <v>0</v>
      </c>
      <c r="F53" s="343">
        <v>76.328999999999994</v>
      </c>
      <c r="G53" s="239">
        <v>0.7710000000000008</v>
      </c>
      <c r="H53" s="238"/>
      <c r="I53" s="238"/>
      <c r="J53" s="238"/>
      <c r="K53" s="238"/>
      <c r="L53" s="238"/>
      <c r="M53" s="238"/>
      <c r="N53" s="238"/>
      <c r="O53" s="238"/>
    </row>
    <row r="54" spans="1:15" s="342" customFormat="1" ht="33" outlineLevel="1" x14ac:dyDescent="0.25">
      <c r="A54" s="351" t="s">
        <v>348</v>
      </c>
      <c r="B54" s="366" t="str">
        <f>'целевые показатели'!B95</f>
        <v>Ремонт ул.Грузовая (элементы обустройства автомобильных дорог)</v>
      </c>
      <c r="C54" s="367">
        <v>102.8</v>
      </c>
      <c r="D54" s="343">
        <v>0</v>
      </c>
      <c r="E54" s="327">
        <v>0</v>
      </c>
      <c r="F54" s="343">
        <v>101.77199999999999</v>
      </c>
      <c r="G54" s="239">
        <v>1.0280000000000058</v>
      </c>
      <c r="H54" s="238"/>
      <c r="I54" s="238"/>
      <c r="J54" s="238"/>
      <c r="K54" s="238"/>
      <c r="L54" s="238"/>
      <c r="M54" s="238"/>
      <c r="N54" s="238"/>
      <c r="O54" s="238"/>
    </row>
    <row r="55" spans="1:15" s="342" customFormat="1" ht="33" outlineLevel="1" x14ac:dyDescent="0.25">
      <c r="A55" s="351" t="s">
        <v>349</v>
      </c>
      <c r="B55" s="366" t="str">
        <f>'целевые показатели'!B95</f>
        <v>Ремонт ул.Грузовая (элементы обустройства автомобильных дорог)</v>
      </c>
      <c r="C55" s="367">
        <v>77.099999999999994</v>
      </c>
      <c r="D55" s="343">
        <v>0</v>
      </c>
      <c r="E55" s="327">
        <v>0</v>
      </c>
      <c r="F55" s="343">
        <v>76.328999999999994</v>
      </c>
      <c r="G55" s="239">
        <v>0.7710000000000008</v>
      </c>
      <c r="H55" s="238"/>
      <c r="I55" s="238"/>
      <c r="J55" s="238"/>
      <c r="K55" s="238"/>
      <c r="L55" s="238"/>
      <c r="M55" s="238"/>
      <c r="N55" s="238"/>
      <c r="O55" s="238"/>
    </row>
    <row r="56" spans="1:15" s="342" customFormat="1" ht="33" outlineLevel="1" x14ac:dyDescent="0.25">
      <c r="A56" s="351" t="s">
        <v>350</v>
      </c>
      <c r="B56" s="366" t="str">
        <f>'целевые показатели'!B96</f>
        <v>Ремонт ул.Р.Люксембург (элементы обустройства автомобильных дорог)</v>
      </c>
      <c r="C56" s="367">
        <v>77.099999999999994</v>
      </c>
      <c r="D56" s="343">
        <v>0</v>
      </c>
      <c r="E56" s="327">
        <v>0</v>
      </c>
      <c r="F56" s="343">
        <v>76.328999999999994</v>
      </c>
      <c r="G56" s="239">
        <v>0.7710000000000008</v>
      </c>
      <c r="H56" s="238"/>
      <c r="I56" s="238"/>
      <c r="J56" s="238"/>
      <c r="K56" s="238"/>
      <c r="L56" s="238"/>
      <c r="M56" s="238"/>
      <c r="N56" s="238"/>
      <c r="O56" s="238"/>
    </row>
    <row r="57" spans="1:15" s="342" customFormat="1" ht="33" outlineLevel="1" x14ac:dyDescent="0.25">
      <c r="A57" s="351" t="s">
        <v>351</v>
      </c>
      <c r="B57" s="366" t="str">
        <f>'целевые показатели'!B97</f>
        <v>Ремонт ул.МОПРа  (элементы обустройства автомобильных дорог)</v>
      </c>
      <c r="C57" s="367">
        <v>154.19999999999999</v>
      </c>
      <c r="D57" s="343">
        <v>0</v>
      </c>
      <c r="E57" s="327">
        <v>0</v>
      </c>
      <c r="F57" s="343">
        <v>152.65799999999999</v>
      </c>
      <c r="G57" s="239">
        <v>1.5420000000000016</v>
      </c>
      <c r="H57" s="238"/>
      <c r="I57" s="238"/>
      <c r="J57" s="238"/>
      <c r="K57" s="238"/>
      <c r="L57" s="238"/>
      <c r="M57" s="238"/>
      <c r="N57" s="238"/>
      <c r="O57" s="238"/>
    </row>
    <row r="58" spans="1:15" s="342" customFormat="1" ht="33" outlineLevel="1" x14ac:dyDescent="0.25">
      <c r="A58" s="351" t="s">
        <v>352</v>
      </c>
      <c r="B58" s="366" t="str">
        <f>'целевые показатели'!B88</f>
        <v>Ремонт Наугорское шоссе (элементы обустройства автомобильных дорог)</v>
      </c>
      <c r="C58" s="367">
        <v>77.099999999999994</v>
      </c>
      <c r="D58" s="343">
        <v>0</v>
      </c>
      <c r="E58" s="327">
        <v>0</v>
      </c>
      <c r="F58" s="343">
        <v>76.328999999999994</v>
      </c>
      <c r="G58" s="239">
        <v>0.7710000000000008</v>
      </c>
      <c r="H58" s="238"/>
      <c r="I58" s="238"/>
      <c r="J58" s="238"/>
      <c r="K58" s="238"/>
      <c r="L58" s="238"/>
      <c r="M58" s="238"/>
      <c r="N58" s="238"/>
      <c r="O58" s="238"/>
    </row>
    <row r="59" spans="1:15" s="342" customFormat="1" ht="33" outlineLevel="1" x14ac:dyDescent="0.25">
      <c r="A59" s="351" t="s">
        <v>353</v>
      </c>
      <c r="B59" s="366" t="str">
        <f>'целевые показатели'!B89</f>
        <v>Ремонт Карачевское шоссе (элементы обустройства автомобильных дорог)</v>
      </c>
      <c r="C59" s="367">
        <v>25.7</v>
      </c>
      <c r="D59" s="343">
        <v>0</v>
      </c>
      <c r="E59" s="327">
        <v>0</v>
      </c>
      <c r="F59" s="343">
        <v>25.442999999999998</v>
      </c>
      <c r="G59" s="239">
        <v>0.25700000000000145</v>
      </c>
      <c r="H59" s="238"/>
      <c r="I59" s="238"/>
      <c r="J59" s="238"/>
      <c r="K59" s="238"/>
      <c r="L59" s="238"/>
      <c r="M59" s="238"/>
      <c r="N59" s="238"/>
      <c r="O59" s="238"/>
    </row>
    <row r="60" spans="1:15" s="342" customFormat="1" ht="33" outlineLevel="1" x14ac:dyDescent="0.25">
      <c r="A60" s="351" t="s">
        <v>354</v>
      </c>
      <c r="B60" s="366" t="str">
        <f>'целевые показатели'!B90</f>
        <v>Ремонт Новосильское шоссе (элементы обустройства автомобильных дорог)</v>
      </c>
      <c r="C60" s="367">
        <v>25.7</v>
      </c>
      <c r="D60" s="343">
        <v>0</v>
      </c>
      <c r="E60" s="327">
        <v>0</v>
      </c>
      <c r="F60" s="343">
        <v>25.442999999999998</v>
      </c>
      <c r="G60" s="239">
        <v>0.25700000000000145</v>
      </c>
      <c r="H60" s="238"/>
      <c r="I60" s="238"/>
      <c r="J60" s="238"/>
      <c r="K60" s="238"/>
      <c r="L60" s="238"/>
      <c r="M60" s="238"/>
      <c r="N60" s="238"/>
      <c r="O60" s="238"/>
    </row>
    <row r="61" spans="1:15" s="342" customFormat="1" ht="33" outlineLevel="1" x14ac:dyDescent="0.25">
      <c r="A61" s="351" t="s">
        <v>355</v>
      </c>
      <c r="B61" s="366" t="str">
        <f>'целевые показатели'!B91</f>
        <v>Ремонт ул. Ливенская (элементы обустройства автомобильных дорог)</v>
      </c>
      <c r="C61" s="367">
        <v>51.4</v>
      </c>
      <c r="D61" s="343">
        <v>0</v>
      </c>
      <c r="E61" s="327">
        <v>0</v>
      </c>
      <c r="F61" s="343">
        <v>50.885999999999996</v>
      </c>
      <c r="G61" s="239">
        <v>0.5140000000000029</v>
      </c>
      <c r="H61" s="238"/>
      <c r="I61" s="238"/>
      <c r="J61" s="238"/>
      <c r="K61" s="238"/>
      <c r="L61" s="238"/>
      <c r="M61" s="238"/>
      <c r="N61" s="238"/>
      <c r="O61" s="238"/>
    </row>
    <row r="62" spans="1:15" s="342" customFormat="1" ht="33" outlineLevel="1" x14ac:dyDescent="0.25">
      <c r="A62" s="351" t="s">
        <v>312</v>
      </c>
      <c r="B62" s="366" t="str">
        <f>'целевые показатели'!B92</f>
        <v>Ремонт ул. Паровозная (элементы обустройства автомобильных дорог)</v>
      </c>
      <c r="C62" s="367">
        <v>51.4</v>
      </c>
      <c r="D62" s="343">
        <v>0</v>
      </c>
      <c r="E62" s="327">
        <v>0</v>
      </c>
      <c r="F62" s="343">
        <v>50.885999999999996</v>
      </c>
      <c r="G62" s="239">
        <v>0.5140000000000029</v>
      </c>
      <c r="H62" s="238"/>
      <c r="I62" s="238"/>
      <c r="J62" s="238"/>
      <c r="K62" s="238"/>
      <c r="L62" s="238"/>
      <c r="M62" s="238"/>
      <c r="N62" s="238"/>
      <c r="O62" s="238"/>
    </row>
    <row r="63" spans="1:15" ht="33" outlineLevel="1" x14ac:dyDescent="0.25">
      <c r="A63" s="351" t="s">
        <v>356</v>
      </c>
      <c r="B63" s="229" t="str">
        <f>'целевые показатели'!B93</f>
        <v>Ремонт пер.Маслозаводской (элементы обустройства автомобильных дорог)</v>
      </c>
      <c r="C63" s="326">
        <v>25.7</v>
      </c>
      <c r="D63" s="22">
        <v>0</v>
      </c>
      <c r="E63" s="22">
        <v>0</v>
      </c>
      <c r="F63" s="22">
        <v>25.442999999999998</v>
      </c>
      <c r="G63" s="231">
        <v>0.25700000000000145</v>
      </c>
      <c r="J63" s="236"/>
      <c r="K63" s="236"/>
      <c r="L63" s="236"/>
      <c r="M63" s="236"/>
      <c r="N63" s="236"/>
      <c r="O63" s="236"/>
    </row>
    <row r="64" spans="1:15" ht="33" outlineLevel="1" x14ac:dyDescent="0.25">
      <c r="A64" s="351" t="s">
        <v>357</v>
      </c>
      <c r="B64" s="229" t="s">
        <v>394</v>
      </c>
      <c r="C64" s="326">
        <v>599.72400000000005</v>
      </c>
      <c r="D64" s="22">
        <v>0</v>
      </c>
      <c r="E64" s="22">
        <v>0</v>
      </c>
      <c r="F64" s="22">
        <v>0</v>
      </c>
      <c r="G64" s="231">
        <v>599.72400000000005</v>
      </c>
      <c r="H64" s="236" t="s">
        <v>158</v>
      </c>
      <c r="J64" s="236"/>
      <c r="K64" s="236"/>
      <c r="L64" s="236"/>
      <c r="M64" s="236"/>
      <c r="N64" s="236"/>
      <c r="O64" s="236"/>
    </row>
    <row r="65" spans="1:15" ht="19.5" customHeight="1" outlineLevel="1" x14ac:dyDescent="0.25">
      <c r="A65" s="351" t="s">
        <v>401</v>
      </c>
      <c r="B65" s="229" t="s">
        <v>395</v>
      </c>
      <c r="C65" s="326">
        <v>599.66639999999995</v>
      </c>
      <c r="D65" s="22">
        <v>0</v>
      </c>
      <c r="E65" s="22">
        <v>0</v>
      </c>
      <c r="F65" s="22">
        <v>0</v>
      </c>
      <c r="G65" s="231">
        <v>599.66639999999995</v>
      </c>
      <c r="H65" s="236" t="s">
        <v>158</v>
      </c>
      <c r="J65" s="236"/>
      <c r="K65" s="236"/>
      <c r="L65" s="236"/>
      <c r="M65" s="236"/>
      <c r="N65" s="236"/>
      <c r="O65" s="236"/>
    </row>
    <row r="66" spans="1:15" ht="49.5" outlineLevel="1" x14ac:dyDescent="0.25">
      <c r="A66" s="351" t="s">
        <v>358</v>
      </c>
      <c r="B66" s="229" t="s">
        <v>397</v>
      </c>
      <c r="C66" s="326">
        <v>212.51168000000001</v>
      </c>
      <c r="D66" s="22">
        <v>0</v>
      </c>
      <c r="E66" s="22">
        <v>0</v>
      </c>
      <c r="F66" s="22">
        <v>0</v>
      </c>
      <c r="G66" s="231">
        <v>212.51168000000001</v>
      </c>
      <c r="H66" s="236" t="s">
        <v>158</v>
      </c>
      <c r="J66" s="236"/>
      <c r="K66" s="236"/>
      <c r="L66" s="236"/>
      <c r="M66" s="236"/>
      <c r="N66" s="236"/>
      <c r="O66" s="236"/>
    </row>
    <row r="67" spans="1:15" ht="69" customHeight="1" outlineLevel="1" x14ac:dyDescent="0.25">
      <c r="A67" s="351" t="s">
        <v>402</v>
      </c>
      <c r="B67" s="229" t="s">
        <v>650</v>
      </c>
      <c r="C67" s="326">
        <v>98</v>
      </c>
      <c r="D67" s="22">
        <v>0</v>
      </c>
      <c r="E67" s="22">
        <v>0</v>
      </c>
      <c r="F67" s="22">
        <v>0</v>
      </c>
      <c r="G67" s="231">
        <v>98</v>
      </c>
      <c r="H67" s="236" t="s">
        <v>158</v>
      </c>
      <c r="J67" s="236"/>
      <c r="K67" s="236"/>
      <c r="L67" s="236"/>
      <c r="M67" s="236"/>
      <c r="N67" s="236"/>
      <c r="O67" s="236"/>
    </row>
    <row r="68" spans="1:15" ht="49.5" outlineLevel="1" x14ac:dyDescent="0.25">
      <c r="A68" s="351" t="s">
        <v>359</v>
      </c>
      <c r="B68" s="229" t="s">
        <v>440</v>
      </c>
      <c r="C68" s="326">
        <v>65</v>
      </c>
      <c r="D68" s="22">
        <v>0</v>
      </c>
      <c r="E68" s="22">
        <v>0</v>
      </c>
      <c r="F68" s="22">
        <v>0</v>
      </c>
      <c r="G68" s="231">
        <v>65</v>
      </c>
      <c r="H68" s="236" t="s">
        <v>158</v>
      </c>
      <c r="J68" s="236"/>
      <c r="K68" s="236"/>
      <c r="L68" s="236"/>
      <c r="M68" s="236"/>
      <c r="N68" s="236"/>
      <c r="O68" s="236"/>
    </row>
    <row r="69" spans="1:15" ht="36" customHeight="1" outlineLevel="1" x14ac:dyDescent="0.25">
      <c r="A69" s="351" t="s">
        <v>360</v>
      </c>
      <c r="B69" s="229" t="s">
        <v>441</v>
      </c>
      <c r="C69" s="326">
        <v>1917.0905399999999</v>
      </c>
      <c r="D69" s="22">
        <v>0</v>
      </c>
      <c r="E69" s="22">
        <v>0</v>
      </c>
      <c r="F69" s="22">
        <v>0</v>
      </c>
      <c r="G69" s="231">
        <v>1917.0905399999999</v>
      </c>
      <c r="H69" s="236" t="s">
        <v>158</v>
      </c>
      <c r="J69" s="236"/>
      <c r="K69" s="236"/>
      <c r="L69" s="236"/>
      <c r="M69" s="236"/>
      <c r="N69" s="236"/>
      <c r="O69" s="236"/>
    </row>
    <row r="70" spans="1:15" ht="36" customHeight="1" outlineLevel="1" x14ac:dyDescent="0.25">
      <c r="A70" s="351" t="s">
        <v>361</v>
      </c>
      <c r="B70" s="229" t="s">
        <v>651</v>
      </c>
      <c r="C70" s="326">
        <v>99.858000000000004</v>
      </c>
      <c r="D70" s="22">
        <v>0</v>
      </c>
      <c r="E70" s="22">
        <v>0</v>
      </c>
      <c r="F70" s="22">
        <v>0</v>
      </c>
      <c r="G70" s="231">
        <v>99.858000000000004</v>
      </c>
      <c r="H70" s="236" t="s">
        <v>158</v>
      </c>
      <c r="J70" s="236"/>
      <c r="K70" s="236"/>
      <c r="L70" s="236"/>
      <c r="M70" s="236"/>
      <c r="N70" s="236"/>
      <c r="O70" s="236"/>
    </row>
    <row r="71" spans="1:15" ht="33" outlineLevel="1" x14ac:dyDescent="0.25">
      <c r="A71" s="351" t="s">
        <v>362</v>
      </c>
      <c r="B71" s="229" t="s">
        <v>399</v>
      </c>
      <c r="C71" s="326">
        <v>450</v>
      </c>
      <c r="D71" s="22">
        <v>0</v>
      </c>
      <c r="E71" s="22">
        <v>0</v>
      </c>
      <c r="F71" s="22">
        <v>0</v>
      </c>
      <c r="G71" s="231">
        <v>450</v>
      </c>
      <c r="H71" s="236" t="s">
        <v>158</v>
      </c>
      <c r="J71" s="236"/>
      <c r="K71" s="236"/>
      <c r="L71" s="236"/>
      <c r="M71" s="236"/>
      <c r="N71" s="236"/>
      <c r="O71" s="236"/>
    </row>
    <row r="72" spans="1:15" ht="49.5" outlineLevel="1" x14ac:dyDescent="0.25">
      <c r="A72" s="351" t="s">
        <v>363</v>
      </c>
      <c r="B72" s="229" t="str">
        <f>'целевые показатели'!B121</f>
        <v>устройство специальных технических средств контроля соблюдений ПДД на нерегулируемом пешеходном переходе по ул.Комсомольская, 237 (объекты 2021 года)</v>
      </c>
      <c r="C72" s="326">
        <v>2686.5</v>
      </c>
      <c r="D72" s="327">
        <v>0</v>
      </c>
      <c r="E72" s="327">
        <v>0</v>
      </c>
      <c r="F72" s="327">
        <v>2659.6349999999998</v>
      </c>
      <c r="G72" s="328">
        <v>26.865000000000236</v>
      </c>
      <c r="J72" s="237"/>
    </row>
    <row r="73" spans="1:15" ht="54" customHeight="1" outlineLevel="1" x14ac:dyDescent="0.25">
      <c r="A73" s="351" t="s">
        <v>364</v>
      </c>
      <c r="B73" s="229" t="str">
        <f>'целевые показатели'!B122</f>
        <v>устройство специальных технических средств контроля соблюдений ПДД на нерегулируемом пешеходном переходе по ул.Приборостроительная, 8 (объекты 2021 года)</v>
      </c>
      <c r="C73" s="326">
        <v>2686.5</v>
      </c>
      <c r="D73" s="327">
        <v>0</v>
      </c>
      <c r="E73" s="327">
        <v>0</v>
      </c>
      <c r="F73" s="327">
        <v>2659.6349999999998</v>
      </c>
      <c r="G73" s="328">
        <v>26.865000000000236</v>
      </c>
      <c r="J73" s="237"/>
    </row>
    <row r="74" spans="1:15" ht="51" customHeight="1" outlineLevel="1" x14ac:dyDescent="0.25">
      <c r="A74" s="351" t="s">
        <v>365</v>
      </c>
      <c r="B74" s="229" t="str">
        <f>'целевые показатели'!B123</f>
        <v>устройство специальных технических средств контроля соблюдений ПДД на нерегулируемом пешеходном переходе по ул.Карачевская, 61 (объекты 2021 года)</v>
      </c>
      <c r="C74" s="326">
        <v>2686.5</v>
      </c>
      <c r="D74" s="327">
        <v>0</v>
      </c>
      <c r="E74" s="327">
        <v>0</v>
      </c>
      <c r="F74" s="327">
        <v>2659.6349999999998</v>
      </c>
      <c r="G74" s="328">
        <v>26.865000000000236</v>
      </c>
      <c r="J74" s="237"/>
    </row>
    <row r="75" spans="1:15" ht="51" customHeight="1" outlineLevel="1" x14ac:dyDescent="0.25">
      <c r="A75" s="351" t="s">
        <v>366</v>
      </c>
      <c r="B75" s="229" t="str">
        <f>'целевые показатели'!B124</f>
        <v>устройство специальных технических средств контроля соблюдений ПДД на нерегулируемом пешеходном переходе по Кромское шоссе, 1 (объекты 2021 года)</v>
      </c>
      <c r="C75" s="326">
        <v>2686.5</v>
      </c>
      <c r="D75" s="327">
        <v>0</v>
      </c>
      <c r="E75" s="327">
        <v>0</v>
      </c>
      <c r="F75" s="327">
        <v>2659.6349999999998</v>
      </c>
      <c r="G75" s="328">
        <v>26.865000000000236</v>
      </c>
      <c r="J75" s="237"/>
      <c r="L75" s="237"/>
    </row>
    <row r="76" spans="1:15" ht="49.5" outlineLevel="1" x14ac:dyDescent="0.25">
      <c r="A76" s="351" t="s">
        <v>367</v>
      </c>
      <c r="B76" s="229" t="str">
        <f>'целевые показатели'!B126</f>
        <v>устройство специальных технических средств контроля соблюдений ПДД на нерегулируемом пешеходном переходе по ул.Ливенская, 48 (объекты 2021 года)</v>
      </c>
      <c r="C76" s="326">
        <v>2686.5</v>
      </c>
      <c r="D76" s="327">
        <v>0</v>
      </c>
      <c r="E76" s="327">
        <v>0</v>
      </c>
      <c r="F76" s="327">
        <v>2659.6349999999998</v>
      </c>
      <c r="G76" s="328">
        <v>26.865000000000236</v>
      </c>
      <c r="J76" s="237"/>
      <c r="K76" s="237"/>
      <c r="M76" s="237"/>
    </row>
    <row r="77" spans="1:15" ht="51" customHeight="1" outlineLevel="1" x14ac:dyDescent="0.25">
      <c r="A77" s="351" t="s">
        <v>368</v>
      </c>
      <c r="B77" s="229" t="str">
        <f>'целевые показатели'!B126</f>
        <v>устройство специальных технических средств контроля соблюдений ПДД на нерегулируемом пешеходном переходе по ул.Ливенская, 48 (объекты 2021 года)</v>
      </c>
      <c r="C77" s="326">
        <v>2686.5</v>
      </c>
      <c r="D77" s="327">
        <v>0</v>
      </c>
      <c r="E77" s="327">
        <v>0</v>
      </c>
      <c r="F77" s="327">
        <v>2659.6349999999998</v>
      </c>
      <c r="G77" s="328">
        <v>26.865000000000236</v>
      </c>
      <c r="K77" s="237"/>
    </row>
    <row r="78" spans="1:15" ht="16.5" customHeight="1" outlineLevel="1" x14ac:dyDescent="0.25">
      <c r="A78" s="351" t="s">
        <v>403</v>
      </c>
      <c r="B78" s="18" t="s">
        <v>206</v>
      </c>
      <c r="C78" s="326">
        <v>12420.168001999999</v>
      </c>
      <c r="D78" s="327">
        <v>0</v>
      </c>
      <c r="E78" s="327">
        <v>0</v>
      </c>
      <c r="F78" s="327">
        <v>12295.966321979999</v>
      </c>
      <c r="G78" s="328">
        <v>124.20168001999991</v>
      </c>
    </row>
    <row r="79" spans="1:15" ht="16.5" outlineLevel="1" x14ac:dyDescent="0.25">
      <c r="A79" s="351" t="s">
        <v>404</v>
      </c>
      <c r="B79" s="229" t="s">
        <v>73</v>
      </c>
      <c r="C79" s="326">
        <v>19371.843597999999</v>
      </c>
      <c r="D79" s="327">
        <v>0</v>
      </c>
      <c r="E79" s="327">
        <v>0</v>
      </c>
      <c r="F79" s="327">
        <v>19178.125162019998</v>
      </c>
      <c r="G79" s="328">
        <v>193.71843598000123</v>
      </c>
      <c r="J79" s="237"/>
    </row>
    <row r="80" spans="1:15" s="342" customFormat="1" ht="33" outlineLevel="1" x14ac:dyDescent="0.25">
      <c r="A80" s="351" t="s">
        <v>405</v>
      </c>
      <c r="B80" s="347" t="s">
        <v>27</v>
      </c>
      <c r="C80" s="367">
        <v>10422.469540000002</v>
      </c>
      <c r="D80" s="343">
        <v>0</v>
      </c>
      <c r="E80" s="327">
        <v>0</v>
      </c>
      <c r="F80" s="343">
        <v>9276.3299772000009</v>
      </c>
      <c r="G80" s="328">
        <v>1146.1395628000009</v>
      </c>
      <c r="H80" s="238" t="s">
        <v>158</v>
      </c>
      <c r="I80" s="238"/>
      <c r="J80" s="368"/>
    </row>
    <row r="81" spans="1:10" ht="16.5" outlineLevel="1" x14ac:dyDescent="0.25">
      <c r="A81" s="351" t="s">
        <v>406</v>
      </c>
      <c r="B81" s="229" t="s">
        <v>28</v>
      </c>
      <c r="C81" s="326">
        <v>14999.999999999985</v>
      </c>
      <c r="D81" s="327">
        <v>0</v>
      </c>
      <c r="E81" s="327">
        <v>0</v>
      </c>
      <c r="F81" s="327">
        <v>14849.999999999985</v>
      </c>
      <c r="G81" s="328">
        <v>150</v>
      </c>
    </row>
    <row r="82" spans="1:10" ht="94.5" outlineLevel="1" x14ac:dyDescent="0.25">
      <c r="A82" s="319">
        <v>3</v>
      </c>
      <c r="B82" s="321" t="s">
        <v>436</v>
      </c>
      <c r="C82" s="369">
        <f>SUM(C83:C87)</f>
        <v>367992.78631999996</v>
      </c>
      <c r="D82" s="369">
        <f>SUM(D83:D87)</f>
        <v>0</v>
      </c>
      <c r="E82" s="369">
        <f>SUM(E83:E87)</f>
        <v>0</v>
      </c>
      <c r="F82" s="369">
        <f>SUM(F83:F87)</f>
        <v>363264.53048820002</v>
      </c>
      <c r="G82" s="370">
        <f>SUM(G83:G87)</f>
        <v>4728.2558318000083</v>
      </c>
      <c r="H82" s="236">
        <f>'целевые показатели'!I139</f>
        <v>367992.78631999996</v>
      </c>
    </row>
    <row r="83" spans="1:10" ht="16.5" outlineLevel="1" x14ac:dyDescent="0.25">
      <c r="A83" s="360" t="s">
        <v>68</v>
      </c>
      <c r="B83" s="275" t="s">
        <v>29</v>
      </c>
      <c r="C83" s="371">
        <v>92917.988440000001</v>
      </c>
      <c r="D83" s="372">
        <v>0</v>
      </c>
      <c r="E83" s="372">
        <v>0</v>
      </c>
      <c r="F83" s="372">
        <v>91988.808555600001</v>
      </c>
      <c r="G83" s="373">
        <v>929.17988440000045</v>
      </c>
      <c r="H83" s="236" t="s">
        <v>408</v>
      </c>
      <c r="I83" s="374">
        <f>F83+F84+F85</f>
        <v>280725.79076190002</v>
      </c>
      <c r="J83" s="17" t="s">
        <v>157</v>
      </c>
    </row>
    <row r="84" spans="1:10" ht="16.5" outlineLevel="1" x14ac:dyDescent="0.25">
      <c r="A84" s="324" t="s">
        <v>69</v>
      </c>
      <c r="B84" s="275" t="s">
        <v>140</v>
      </c>
      <c r="C84" s="371">
        <v>158534.92733999999</v>
      </c>
      <c r="D84" s="372">
        <v>0</v>
      </c>
      <c r="E84" s="372">
        <v>0</v>
      </c>
      <c r="F84" s="372">
        <v>156949.57806659999</v>
      </c>
      <c r="G84" s="373">
        <v>1585.3492734000029</v>
      </c>
      <c r="H84" s="236" t="s">
        <v>408</v>
      </c>
    </row>
    <row r="85" spans="1:10" ht="16.5" outlineLevel="1" x14ac:dyDescent="0.25">
      <c r="A85" s="324" t="s">
        <v>70</v>
      </c>
      <c r="B85" s="275" t="s">
        <v>30</v>
      </c>
      <c r="C85" s="371">
        <v>32108.489030000001</v>
      </c>
      <c r="D85" s="372">
        <v>0</v>
      </c>
      <c r="E85" s="372">
        <v>0</v>
      </c>
      <c r="F85" s="372">
        <v>31787.4041397</v>
      </c>
      <c r="G85" s="373">
        <v>321.08489030000055</v>
      </c>
      <c r="H85" s="236" t="s">
        <v>408</v>
      </c>
    </row>
    <row r="86" spans="1:10" ht="16.5" outlineLevel="1" x14ac:dyDescent="0.25">
      <c r="A86" s="351" t="s">
        <v>71</v>
      </c>
      <c r="B86" s="229" t="s">
        <v>26</v>
      </c>
      <c r="C86" s="371">
        <v>83546.059510000006</v>
      </c>
      <c r="D86" s="372">
        <v>0</v>
      </c>
      <c r="E86" s="372">
        <v>0</v>
      </c>
      <c r="F86" s="372">
        <v>82538.739726300002</v>
      </c>
      <c r="G86" s="373">
        <v>1007.3197837000043</v>
      </c>
    </row>
    <row r="87" spans="1:10" ht="33" outlineLevel="1" x14ac:dyDescent="0.25">
      <c r="A87" s="351" t="s">
        <v>72</v>
      </c>
      <c r="B87" s="366" t="s">
        <v>27</v>
      </c>
      <c r="C87" s="371">
        <v>885.322</v>
      </c>
      <c r="D87" s="327">
        <v>0</v>
      </c>
      <c r="E87" s="327">
        <v>0</v>
      </c>
      <c r="F87" s="327">
        <v>0</v>
      </c>
      <c r="G87" s="375">
        <v>885.322</v>
      </c>
      <c r="H87" s="236" t="s">
        <v>158</v>
      </c>
    </row>
    <row r="88" spans="1:10" ht="47.25" outlineLevel="1" x14ac:dyDescent="0.25">
      <c r="A88" s="319">
        <v>4</v>
      </c>
      <c r="B88" s="321" t="s">
        <v>51</v>
      </c>
      <c r="C88" s="369">
        <f>SUM(C89:C116)</f>
        <v>9330.6510808000021</v>
      </c>
      <c r="D88" s="369">
        <f>SUM(D89:D116)</f>
        <v>0</v>
      </c>
      <c r="E88" s="369">
        <f>SUM(E89:E116)</f>
        <v>0</v>
      </c>
      <c r="F88" s="369">
        <f>SUM(F89:F116)</f>
        <v>5806.1000002599994</v>
      </c>
      <c r="G88" s="370">
        <f>SUM(G89:G116)</f>
        <v>3524.5510805399999</v>
      </c>
      <c r="H88" s="376">
        <f>'целевые показатели'!I170</f>
        <v>0</v>
      </c>
      <c r="I88" s="376"/>
    </row>
    <row r="89" spans="1:10" hidden="1" outlineLevel="1" x14ac:dyDescent="0.25">
      <c r="A89" s="351" t="s">
        <v>52</v>
      </c>
      <c r="B89" s="344" t="s">
        <v>32</v>
      </c>
      <c r="C89" s="371">
        <f>'целевые показатели'!I170</f>
        <v>0</v>
      </c>
      <c r="D89" s="327">
        <v>0</v>
      </c>
      <c r="E89" s="327"/>
      <c r="F89" s="327">
        <v>0</v>
      </c>
      <c r="G89" s="377">
        <v>0</v>
      </c>
    </row>
    <row r="90" spans="1:10" hidden="1" outlineLevel="1" x14ac:dyDescent="0.25">
      <c r="A90" s="351" t="s">
        <v>53</v>
      </c>
      <c r="B90" s="344" t="s">
        <v>33</v>
      </c>
      <c r="C90" s="371">
        <f>'целевые показатели'!I171</f>
        <v>0</v>
      </c>
      <c r="D90" s="327">
        <v>0</v>
      </c>
      <c r="E90" s="327"/>
      <c r="F90" s="327">
        <v>0</v>
      </c>
      <c r="G90" s="377">
        <v>0</v>
      </c>
    </row>
    <row r="91" spans="1:10" ht="31.5" outlineLevel="1" x14ac:dyDescent="0.25">
      <c r="A91" s="351" t="s">
        <v>52</v>
      </c>
      <c r="B91" s="344" t="s">
        <v>146</v>
      </c>
      <c r="C91" s="371">
        <v>150</v>
      </c>
      <c r="D91" s="327">
        <v>0</v>
      </c>
      <c r="E91" s="327">
        <v>0</v>
      </c>
      <c r="F91" s="327">
        <v>0</v>
      </c>
      <c r="G91" s="377">
        <v>150</v>
      </c>
    </row>
    <row r="92" spans="1:10" ht="31.5" customHeight="1" outlineLevel="1" x14ac:dyDescent="0.25">
      <c r="A92" s="351" t="s">
        <v>53</v>
      </c>
      <c r="B92" s="344" t="s">
        <v>147</v>
      </c>
      <c r="C92" s="371">
        <v>150</v>
      </c>
      <c r="D92" s="327">
        <v>0</v>
      </c>
      <c r="E92" s="327">
        <v>0</v>
      </c>
      <c r="F92" s="327">
        <v>0</v>
      </c>
      <c r="G92" s="377">
        <v>150</v>
      </c>
    </row>
    <row r="93" spans="1:10" ht="47.25" outlineLevel="1" x14ac:dyDescent="0.25">
      <c r="A93" s="351" t="s">
        <v>54</v>
      </c>
      <c r="B93" s="378" t="s">
        <v>254</v>
      </c>
      <c r="C93" s="379">
        <v>937.91759999999999</v>
      </c>
      <c r="D93" s="327">
        <v>0</v>
      </c>
      <c r="E93" s="327">
        <v>0</v>
      </c>
      <c r="F93" s="327">
        <v>0</v>
      </c>
      <c r="G93" s="377">
        <v>937.91759999999999</v>
      </c>
      <c r="H93" s="380" t="s">
        <v>158</v>
      </c>
    </row>
    <row r="94" spans="1:10" ht="51" customHeight="1" outlineLevel="1" x14ac:dyDescent="0.25">
      <c r="A94" s="351" t="s">
        <v>88</v>
      </c>
      <c r="B94" s="378" t="s">
        <v>652</v>
      </c>
      <c r="C94" s="379">
        <v>940.24440000000004</v>
      </c>
      <c r="D94" s="327">
        <v>0</v>
      </c>
      <c r="E94" s="327">
        <v>0</v>
      </c>
      <c r="F94" s="327">
        <v>0</v>
      </c>
      <c r="G94" s="377">
        <v>940.24440000000004</v>
      </c>
      <c r="H94" s="380" t="s">
        <v>158</v>
      </c>
    </row>
    <row r="95" spans="1:10" ht="51" customHeight="1" outlineLevel="1" x14ac:dyDescent="0.25">
      <c r="A95" s="351" t="s">
        <v>179</v>
      </c>
      <c r="B95" s="378" t="s">
        <v>256</v>
      </c>
      <c r="C95" s="379">
        <v>467.87470000000002</v>
      </c>
      <c r="D95" s="327">
        <v>0</v>
      </c>
      <c r="E95" s="327">
        <v>0</v>
      </c>
      <c r="F95" s="327">
        <v>0</v>
      </c>
      <c r="G95" s="377">
        <v>467.87470000000002</v>
      </c>
      <c r="H95" s="380" t="s">
        <v>158</v>
      </c>
      <c r="I95" s="381"/>
      <c r="J95" s="382"/>
    </row>
    <row r="96" spans="1:10" ht="16.5" outlineLevel="1" x14ac:dyDescent="0.25">
      <c r="A96" s="351" t="s">
        <v>180</v>
      </c>
      <c r="B96" s="383" t="s">
        <v>392</v>
      </c>
      <c r="C96" s="379">
        <v>58.090919999999997</v>
      </c>
      <c r="D96" s="327">
        <v>0</v>
      </c>
      <c r="E96" s="327">
        <v>0</v>
      </c>
      <c r="F96" s="327">
        <v>0</v>
      </c>
      <c r="G96" s="377">
        <v>58.090919999999997</v>
      </c>
      <c r="H96" s="380" t="s">
        <v>158</v>
      </c>
      <c r="I96" s="381"/>
      <c r="J96" s="382"/>
    </row>
    <row r="97" spans="1:11" s="390" customFormat="1" ht="51" hidden="1" customHeight="1" outlineLevel="2" x14ac:dyDescent="0.25">
      <c r="A97" s="351" t="s">
        <v>202</v>
      </c>
      <c r="B97" s="384" t="s">
        <v>278</v>
      </c>
      <c r="C97" s="385">
        <v>0</v>
      </c>
      <c r="D97" s="386">
        <v>0</v>
      </c>
      <c r="E97" s="327">
        <v>0</v>
      </c>
      <c r="F97" s="386">
        <v>0</v>
      </c>
      <c r="G97" s="387">
        <v>0</v>
      </c>
      <c r="H97" s="388" t="s">
        <v>373</v>
      </c>
      <c r="I97" s="388"/>
      <c r="J97" s="389"/>
    </row>
    <row r="98" spans="1:11" s="390" customFormat="1" ht="51" hidden="1" customHeight="1" outlineLevel="2" x14ac:dyDescent="0.25">
      <c r="A98" s="351" t="s">
        <v>216</v>
      </c>
      <c r="B98" s="384" t="s">
        <v>290</v>
      </c>
      <c r="C98" s="385">
        <v>0</v>
      </c>
      <c r="D98" s="386">
        <v>0</v>
      </c>
      <c r="E98" s="327">
        <v>0</v>
      </c>
      <c r="F98" s="386">
        <v>0</v>
      </c>
      <c r="G98" s="387">
        <v>0</v>
      </c>
      <c r="H98" s="380" t="s">
        <v>158</v>
      </c>
      <c r="I98" s="380"/>
    </row>
    <row r="99" spans="1:11" s="390" customFormat="1" ht="51" hidden="1" customHeight="1" outlineLevel="2" x14ac:dyDescent="0.25">
      <c r="A99" s="351" t="s">
        <v>217</v>
      </c>
      <c r="B99" s="384" t="s">
        <v>280</v>
      </c>
      <c r="C99" s="385">
        <v>0</v>
      </c>
      <c r="D99" s="386">
        <v>0</v>
      </c>
      <c r="E99" s="327">
        <v>0</v>
      </c>
      <c r="F99" s="386">
        <v>0</v>
      </c>
      <c r="G99" s="387">
        <v>0</v>
      </c>
      <c r="H99" s="380" t="s">
        <v>158</v>
      </c>
      <c r="I99" s="380"/>
    </row>
    <row r="100" spans="1:11" s="390" customFormat="1" ht="51" hidden="1" customHeight="1" outlineLevel="2" x14ac:dyDescent="0.25">
      <c r="A100" s="351" t="s">
        <v>218</v>
      </c>
      <c r="B100" s="384" t="s">
        <v>277</v>
      </c>
      <c r="C100" s="385">
        <v>0</v>
      </c>
      <c r="D100" s="386">
        <v>0</v>
      </c>
      <c r="E100" s="327">
        <v>0</v>
      </c>
      <c r="F100" s="386">
        <v>0</v>
      </c>
      <c r="G100" s="387">
        <v>0</v>
      </c>
      <c r="H100" s="380" t="s">
        <v>158</v>
      </c>
      <c r="I100" s="380"/>
    </row>
    <row r="101" spans="1:11" ht="51" hidden="1" customHeight="1" outlineLevel="2" x14ac:dyDescent="0.25">
      <c r="A101" s="351" t="s">
        <v>271</v>
      </c>
      <c r="B101" s="18" t="s">
        <v>281</v>
      </c>
      <c r="C101" s="371">
        <v>0</v>
      </c>
      <c r="D101" s="327">
        <v>0</v>
      </c>
      <c r="E101" s="327">
        <v>0</v>
      </c>
      <c r="F101" s="327">
        <v>0</v>
      </c>
      <c r="G101" s="377">
        <v>0</v>
      </c>
    </row>
    <row r="102" spans="1:11" s="390" customFormat="1" ht="51" hidden="1" customHeight="1" outlineLevel="2" x14ac:dyDescent="0.25">
      <c r="A102" s="351" t="s">
        <v>272</v>
      </c>
      <c r="B102" s="384" t="s">
        <v>287</v>
      </c>
      <c r="C102" s="385">
        <v>0</v>
      </c>
      <c r="D102" s="386">
        <v>0</v>
      </c>
      <c r="E102" s="327">
        <v>0</v>
      </c>
      <c r="F102" s="386">
        <v>0</v>
      </c>
      <c r="G102" s="387">
        <v>0</v>
      </c>
      <c r="H102" s="380" t="s">
        <v>158</v>
      </c>
      <c r="I102" s="380"/>
    </row>
    <row r="103" spans="1:11" s="390" customFormat="1" ht="51" hidden="1" customHeight="1" outlineLevel="2" x14ac:dyDescent="0.25">
      <c r="A103" s="351" t="s">
        <v>273</v>
      </c>
      <c r="B103" s="384" t="s">
        <v>283</v>
      </c>
      <c r="C103" s="385">
        <v>0</v>
      </c>
      <c r="D103" s="386">
        <v>0</v>
      </c>
      <c r="E103" s="327">
        <v>0</v>
      </c>
      <c r="F103" s="386">
        <v>0</v>
      </c>
      <c r="G103" s="387">
        <v>0</v>
      </c>
      <c r="H103" s="380" t="s">
        <v>158</v>
      </c>
      <c r="I103" s="380"/>
      <c r="J103" s="389"/>
      <c r="K103" s="389"/>
    </row>
    <row r="104" spans="1:11" ht="51" hidden="1" customHeight="1" outlineLevel="2" x14ac:dyDescent="0.25">
      <c r="A104" s="351" t="s">
        <v>274</v>
      </c>
      <c r="B104" s="18" t="s">
        <v>288</v>
      </c>
      <c r="C104" s="371">
        <v>0</v>
      </c>
      <c r="D104" s="327">
        <v>0</v>
      </c>
      <c r="E104" s="327">
        <v>0</v>
      </c>
      <c r="F104" s="327">
        <v>0</v>
      </c>
      <c r="G104" s="377">
        <v>0</v>
      </c>
      <c r="K104" s="237"/>
    </row>
    <row r="105" spans="1:11" ht="51" hidden="1" customHeight="1" outlineLevel="2" x14ac:dyDescent="0.25">
      <c r="A105" s="351" t="s">
        <v>275</v>
      </c>
      <c r="B105" s="18" t="s">
        <v>285</v>
      </c>
      <c r="C105" s="371">
        <v>0</v>
      </c>
      <c r="D105" s="327">
        <v>0</v>
      </c>
      <c r="E105" s="327">
        <v>0</v>
      </c>
      <c r="F105" s="327">
        <v>0</v>
      </c>
      <c r="G105" s="377">
        <v>0</v>
      </c>
    </row>
    <row r="106" spans="1:11" ht="51" hidden="1" customHeight="1" outlineLevel="2" x14ac:dyDescent="0.25">
      <c r="A106" s="351" t="s">
        <v>306</v>
      </c>
      <c r="B106" s="18" t="s">
        <v>289</v>
      </c>
      <c r="C106" s="371">
        <v>0</v>
      </c>
      <c r="D106" s="327">
        <v>0</v>
      </c>
      <c r="E106" s="327">
        <v>0</v>
      </c>
      <c r="F106" s="327">
        <v>0</v>
      </c>
      <c r="G106" s="377">
        <v>0</v>
      </c>
    </row>
    <row r="107" spans="1:11" ht="55.5" hidden="1" customHeight="1" outlineLevel="2" x14ac:dyDescent="0.25">
      <c r="A107" s="351" t="s">
        <v>307</v>
      </c>
      <c r="B107" s="18" t="str">
        <f>'целевые показатели'!B188</f>
        <v>устройство (монтаж) недостающих средств организации и регулирования дорожного движения в районе пересечения ул.Трудовые резервы и ул. Генерала Родина</v>
      </c>
      <c r="C107" s="371">
        <v>0</v>
      </c>
      <c r="D107" s="327">
        <v>0</v>
      </c>
      <c r="E107" s="327">
        <v>0</v>
      </c>
      <c r="F107" s="327">
        <v>0</v>
      </c>
      <c r="G107" s="377">
        <v>0</v>
      </c>
      <c r="H107" s="238" t="s">
        <v>158</v>
      </c>
      <c r="I107" s="238"/>
    </row>
    <row r="108" spans="1:11" s="342" customFormat="1" ht="63" outlineLevel="3" x14ac:dyDescent="0.25">
      <c r="A108" s="351" t="s">
        <v>202</v>
      </c>
      <c r="B108" s="344" t="s">
        <v>653</v>
      </c>
      <c r="C108" s="371">
        <v>1603.2324000000001</v>
      </c>
      <c r="D108" s="327">
        <v>0</v>
      </c>
      <c r="E108" s="327">
        <v>0</v>
      </c>
      <c r="F108" s="22">
        <v>1523.07078</v>
      </c>
      <c r="G108" s="391">
        <v>80.161620000000084</v>
      </c>
      <c r="H108" s="238"/>
      <c r="I108" s="238"/>
    </row>
    <row r="109" spans="1:11" s="342" customFormat="1" ht="47.25" outlineLevel="3" x14ac:dyDescent="0.25">
      <c r="A109" s="351" t="s">
        <v>216</v>
      </c>
      <c r="B109" s="344" t="s">
        <v>208</v>
      </c>
      <c r="C109" s="371">
        <v>2154.2671099999998</v>
      </c>
      <c r="D109" s="327">
        <v>0</v>
      </c>
      <c r="E109" s="327">
        <v>0</v>
      </c>
      <c r="F109" s="22">
        <v>2046.5537544999997</v>
      </c>
      <c r="G109" s="391">
        <v>107.71335550000003</v>
      </c>
      <c r="H109" s="392"/>
      <c r="I109" s="392"/>
    </row>
    <row r="110" spans="1:11" s="342" customFormat="1" ht="47.25" outlineLevel="3" x14ac:dyDescent="0.25">
      <c r="A110" s="351" t="s">
        <v>217</v>
      </c>
      <c r="B110" s="344" t="s">
        <v>209</v>
      </c>
      <c r="C110" s="371">
        <v>1489.1971007999998</v>
      </c>
      <c r="D110" s="327">
        <v>0</v>
      </c>
      <c r="E110" s="327">
        <v>0</v>
      </c>
      <c r="F110" s="22">
        <v>1414.7372457599997</v>
      </c>
      <c r="G110" s="391">
        <v>74.459855040000093</v>
      </c>
      <c r="H110" s="238"/>
      <c r="I110" s="238"/>
    </row>
    <row r="111" spans="1:11" s="342" customFormat="1" ht="47.25" outlineLevel="3" x14ac:dyDescent="0.25">
      <c r="A111" s="351" t="s">
        <v>218</v>
      </c>
      <c r="B111" s="344" t="s">
        <v>654</v>
      </c>
      <c r="C111" s="371">
        <v>408.76042000000001</v>
      </c>
      <c r="D111" s="327">
        <v>0</v>
      </c>
      <c r="E111" s="327">
        <v>0</v>
      </c>
      <c r="F111" s="22">
        <v>388.32239900000002</v>
      </c>
      <c r="G111" s="391">
        <v>20.438020999999992</v>
      </c>
      <c r="H111" s="238"/>
      <c r="I111" s="238"/>
    </row>
    <row r="112" spans="1:11" s="342" customFormat="1" ht="47.25" outlineLevel="3" x14ac:dyDescent="0.25">
      <c r="A112" s="351" t="s">
        <v>271</v>
      </c>
      <c r="B112" s="344" t="s">
        <v>210</v>
      </c>
      <c r="C112" s="371">
        <v>35.221240000000002</v>
      </c>
      <c r="D112" s="327">
        <v>0</v>
      </c>
      <c r="E112" s="327">
        <v>0</v>
      </c>
      <c r="F112" s="22">
        <v>33.460177999999999</v>
      </c>
      <c r="G112" s="391">
        <v>1.7610620000000026</v>
      </c>
      <c r="H112" s="238"/>
      <c r="I112" s="238"/>
    </row>
    <row r="113" spans="1:11" s="342" customFormat="1" ht="47.25" outlineLevel="3" x14ac:dyDescent="0.25">
      <c r="A113" s="351" t="s">
        <v>272</v>
      </c>
      <c r="B113" s="344" t="s">
        <v>655</v>
      </c>
      <c r="C113" s="371">
        <v>421.00594000000001</v>
      </c>
      <c r="D113" s="327">
        <v>0</v>
      </c>
      <c r="E113" s="327">
        <v>0</v>
      </c>
      <c r="F113" s="22">
        <v>399.95564300000001</v>
      </c>
      <c r="G113" s="391">
        <v>21.050297</v>
      </c>
      <c r="H113" s="238"/>
      <c r="I113" s="238"/>
    </row>
    <row r="114" spans="1:11" s="342" customFormat="1" hidden="1" outlineLevel="3" x14ac:dyDescent="0.25">
      <c r="A114" s="393">
        <v>46478</v>
      </c>
      <c r="B114" s="344" t="str">
        <f>'целевые показатели'!B195</f>
        <v>установка дорожных знаков и нанесения дорожной разметки</v>
      </c>
      <c r="C114" s="371">
        <v>0</v>
      </c>
      <c r="D114" s="327">
        <v>0</v>
      </c>
      <c r="E114" s="327">
        <v>0</v>
      </c>
      <c r="F114" s="22">
        <v>0</v>
      </c>
      <c r="G114" s="391">
        <v>0</v>
      </c>
      <c r="H114" s="238" t="s">
        <v>158</v>
      </c>
      <c r="I114" s="238"/>
    </row>
    <row r="115" spans="1:11" hidden="1" outlineLevel="2" x14ac:dyDescent="0.25">
      <c r="A115" s="351" t="s">
        <v>273</v>
      </c>
      <c r="B115" s="18" t="s">
        <v>26</v>
      </c>
      <c r="C115" s="371">
        <v>0</v>
      </c>
      <c r="D115" s="327">
        <v>0</v>
      </c>
      <c r="E115" s="327">
        <v>0</v>
      </c>
      <c r="F115" s="327">
        <v>0</v>
      </c>
      <c r="G115" s="377">
        <v>0</v>
      </c>
    </row>
    <row r="116" spans="1:11" ht="31.5" outlineLevel="1" collapsed="1" x14ac:dyDescent="0.25">
      <c r="A116" s="351" t="s">
        <v>273</v>
      </c>
      <c r="B116" s="344" t="s">
        <v>55</v>
      </c>
      <c r="C116" s="371">
        <v>514.83924999999999</v>
      </c>
      <c r="D116" s="327">
        <v>0</v>
      </c>
      <c r="E116" s="327">
        <v>0</v>
      </c>
      <c r="F116" s="327">
        <v>0</v>
      </c>
      <c r="G116" s="377">
        <v>514.83924999999999</v>
      </c>
    </row>
    <row r="117" spans="1:11" ht="110.25" outlineLevel="1" x14ac:dyDescent="0.25">
      <c r="A117" s="319">
        <v>5</v>
      </c>
      <c r="B117" s="394" t="s">
        <v>56</v>
      </c>
      <c r="C117" s="395">
        <f>'целевые показатели'!I205</f>
        <v>79600</v>
      </c>
      <c r="D117" s="369">
        <f>'целевые показатели'!I210</f>
        <v>6768.7</v>
      </c>
      <c r="E117" s="369">
        <v>0</v>
      </c>
      <c r="F117" s="396">
        <f>'целевые показатели'!I210</f>
        <v>6768.7</v>
      </c>
      <c r="G117" s="370">
        <v>0</v>
      </c>
      <c r="H117" s="236">
        <f>'целевые показатели'!I205</f>
        <v>79600</v>
      </c>
      <c r="J117" s="342"/>
    </row>
    <row r="118" spans="1:11" ht="47.25" outlineLevel="1" x14ac:dyDescent="0.25">
      <c r="A118" s="319">
        <v>7</v>
      </c>
      <c r="B118" s="321" t="s">
        <v>11</v>
      </c>
      <c r="C118" s="395">
        <f>SUM(C119:C125)</f>
        <v>7642.6256899999998</v>
      </c>
      <c r="D118" s="395">
        <f>SUM(D119:D125)</f>
        <v>0</v>
      </c>
      <c r="E118" s="395">
        <f>SUM(E119:E125)</f>
        <v>0</v>
      </c>
      <c r="F118" s="395">
        <f>SUM(F119:F125)</f>
        <v>0</v>
      </c>
      <c r="G118" s="397">
        <f>SUM(G119:G125)</f>
        <v>7642.6256899999998</v>
      </c>
      <c r="H118" s="236">
        <f>'целевые показатели'!I214</f>
        <v>7042.6256899999998</v>
      </c>
      <c r="J118" s="237"/>
      <c r="K118" s="237"/>
    </row>
    <row r="119" spans="1:11" ht="33" outlineLevel="1" x14ac:dyDescent="0.25">
      <c r="A119" s="324" t="s">
        <v>315</v>
      </c>
      <c r="B119" s="229" t="s">
        <v>156</v>
      </c>
      <c r="C119" s="326">
        <v>1758.8771999999999</v>
      </c>
      <c r="D119" s="22">
        <v>0</v>
      </c>
      <c r="E119" s="22">
        <v>0</v>
      </c>
      <c r="F119" s="22">
        <v>0</v>
      </c>
      <c r="G119" s="231">
        <v>1758.8771999999999</v>
      </c>
      <c r="H119" s="236" t="s">
        <v>158</v>
      </c>
      <c r="J119" s="17" t="s">
        <v>264</v>
      </c>
    </row>
    <row r="120" spans="1:11" ht="33" outlineLevel="1" x14ac:dyDescent="0.25">
      <c r="A120" s="324" t="s">
        <v>656</v>
      </c>
      <c r="B120" s="229" t="s">
        <v>252</v>
      </c>
      <c r="C120" s="326">
        <v>576.50667999999996</v>
      </c>
      <c r="D120" s="22">
        <v>0</v>
      </c>
      <c r="E120" s="22">
        <v>0</v>
      </c>
      <c r="F120" s="22">
        <v>0</v>
      </c>
      <c r="G120" s="231">
        <v>576.50667999999996</v>
      </c>
      <c r="H120" s="236" t="s">
        <v>158</v>
      </c>
      <c r="J120" s="17" t="s">
        <v>657</v>
      </c>
    </row>
    <row r="121" spans="1:11" ht="33" outlineLevel="1" x14ac:dyDescent="0.25">
      <c r="A121" s="324" t="s">
        <v>658</v>
      </c>
      <c r="B121" s="229" t="s">
        <v>253</v>
      </c>
      <c r="C121" s="326">
        <v>863.57280000000003</v>
      </c>
      <c r="D121" s="22">
        <v>0</v>
      </c>
      <c r="E121" s="22">
        <v>0</v>
      </c>
      <c r="F121" s="22">
        <v>0</v>
      </c>
      <c r="G121" s="231">
        <v>863.57280000000003</v>
      </c>
      <c r="H121" s="236" t="s">
        <v>158</v>
      </c>
      <c r="J121" s="237"/>
    </row>
    <row r="122" spans="1:11" ht="33" outlineLevel="1" x14ac:dyDescent="0.25">
      <c r="A122" s="324" t="s">
        <v>659</v>
      </c>
      <c r="B122" s="229" t="s">
        <v>313</v>
      </c>
      <c r="C122" s="326">
        <v>1361.5830000000001</v>
      </c>
      <c r="D122" s="22">
        <v>0</v>
      </c>
      <c r="E122" s="22">
        <v>0</v>
      </c>
      <c r="F122" s="22">
        <v>0</v>
      </c>
      <c r="G122" s="231">
        <v>1361.5830000000001</v>
      </c>
      <c r="J122" s="237"/>
    </row>
    <row r="123" spans="1:11" ht="66" outlineLevel="1" x14ac:dyDescent="0.25">
      <c r="A123" s="324" t="s">
        <v>647</v>
      </c>
      <c r="B123" s="229" t="s">
        <v>251</v>
      </c>
      <c r="C123" s="326">
        <v>600</v>
      </c>
      <c r="D123" s="22">
        <v>0</v>
      </c>
      <c r="E123" s="22">
        <v>0</v>
      </c>
      <c r="F123" s="22">
        <v>0</v>
      </c>
      <c r="G123" s="231">
        <v>600</v>
      </c>
      <c r="H123" s="236" t="s">
        <v>158</v>
      </c>
    </row>
    <row r="124" spans="1:11" ht="49.5" outlineLevel="1" x14ac:dyDescent="0.25">
      <c r="A124" s="324" t="s">
        <v>674</v>
      </c>
      <c r="B124" s="229" t="s">
        <v>391</v>
      </c>
      <c r="C124" s="326">
        <v>2443.9362099999998</v>
      </c>
      <c r="D124" s="22">
        <v>0</v>
      </c>
      <c r="E124" s="22">
        <v>0</v>
      </c>
      <c r="F124" s="22">
        <v>0</v>
      </c>
      <c r="G124" s="231">
        <v>2443.9362099999998</v>
      </c>
      <c r="H124" s="236" t="s">
        <v>158</v>
      </c>
    </row>
    <row r="125" spans="1:11" ht="16.5" outlineLevel="1" x14ac:dyDescent="0.25">
      <c r="A125" s="324" t="s">
        <v>648</v>
      </c>
      <c r="B125" s="229" t="s">
        <v>392</v>
      </c>
      <c r="C125" s="326">
        <v>38.149799999999999</v>
      </c>
      <c r="D125" s="22">
        <v>0</v>
      </c>
      <c r="E125" s="22">
        <v>0</v>
      </c>
      <c r="F125" s="22">
        <v>0</v>
      </c>
      <c r="G125" s="231">
        <v>38.149799999999999</v>
      </c>
      <c r="H125" s="236" t="s">
        <v>158</v>
      </c>
    </row>
    <row r="126" spans="1:11" s="401" customFormat="1" ht="16.5" customHeight="1" outlineLevel="1" x14ac:dyDescent="0.25">
      <c r="A126" s="319">
        <v>7</v>
      </c>
      <c r="B126" s="398" t="s">
        <v>138</v>
      </c>
      <c r="C126" s="399">
        <f>C127</f>
        <v>483049.76000999997</v>
      </c>
      <c r="D126" s="399">
        <f>D127</f>
        <v>377914.76000999997</v>
      </c>
      <c r="E126" s="399">
        <v>0</v>
      </c>
      <c r="F126" s="399">
        <f>F127</f>
        <v>100000</v>
      </c>
      <c r="G126" s="400">
        <f>G127</f>
        <v>5135</v>
      </c>
      <c r="H126" s="232">
        <f>'целевые показатели'!I234</f>
        <v>483049.76000999997</v>
      </c>
      <c r="I126" s="232"/>
    </row>
    <row r="127" spans="1:11" ht="16.5" customHeight="1" outlineLevel="1" x14ac:dyDescent="0.25">
      <c r="A127" s="324" t="s">
        <v>315</v>
      </c>
      <c r="B127" s="229" t="s">
        <v>76</v>
      </c>
      <c r="C127" s="326">
        <v>483049.76000999997</v>
      </c>
      <c r="D127" s="22">
        <v>377914.76000999997</v>
      </c>
      <c r="E127" s="22">
        <v>0</v>
      </c>
      <c r="F127" s="22">
        <v>100000</v>
      </c>
      <c r="G127" s="231">
        <v>5135</v>
      </c>
    </row>
    <row r="128" spans="1:11" ht="33" outlineLevel="1" x14ac:dyDescent="0.25">
      <c r="A128" s="319">
        <v>8</v>
      </c>
      <c r="B128" s="398" t="s">
        <v>295</v>
      </c>
      <c r="C128" s="399">
        <f>SUM(C129:C133)</f>
        <v>133136.90279652629</v>
      </c>
      <c r="D128" s="399">
        <f>SUM(D129:D133)</f>
        <v>0</v>
      </c>
      <c r="E128" s="399">
        <f>SUM(E129:E133)</f>
        <v>0</v>
      </c>
      <c r="F128" s="399">
        <f>SUM(F129:F133)</f>
        <v>126480.05765669997</v>
      </c>
      <c r="G128" s="400">
        <f>SUM(G129:G133)</f>
        <v>6656.8451398263251</v>
      </c>
      <c r="H128" s="236">
        <f>'целевые показатели'!I241</f>
        <v>133136.90280021049</v>
      </c>
      <c r="J128" s="237"/>
    </row>
    <row r="129" spans="1:15" ht="148.5" hidden="1" outlineLevel="1" x14ac:dyDescent="0.25">
      <c r="A129" s="351" t="s">
        <v>316</v>
      </c>
      <c r="B129" s="229" t="s">
        <v>660</v>
      </c>
      <c r="C129" s="326">
        <f>'целевые показатели'!I244</f>
        <v>0</v>
      </c>
      <c r="D129" s="22">
        <v>0</v>
      </c>
      <c r="E129" s="22"/>
      <c r="F129" s="327">
        <f>C129*0.95</f>
        <v>0</v>
      </c>
      <c r="G129" s="377">
        <f>C129-F129</f>
        <v>0</v>
      </c>
      <c r="J129" s="237"/>
    </row>
    <row r="130" spans="1:15" ht="33" outlineLevel="1" x14ac:dyDescent="0.25">
      <c r="A130" s="351" t="s">
        <v>316</v>
      </c>
      <c r="B130" s="229" t="s">
        <v>374</v>
      </c>
      <c r="C130" s="326">
        <f>'целевые показатели'!I245</f>
        <v>53978.952089999999</v>
      </c>
      <c r="D130" s="22">
        <v>0</v>
      </c>
      <c r="E130" s="22">
        <v>0</v>
      </c>
      <c r="F130" s="327">
        <f>C130*0.95</f>
        <v>51280.004485499994</v>
      </c>
      <c r="G130" s="377">
        <f>C130-F130</f>
        <v>2698.9476045000047</v>
      </c>
      <c r="J130" s="237"/>
      <c r="K130" s="237"/>
    </row>
    <row r="131" spans="1:15" ht="33" hidden="1" outlineLevel="1" x14ac:dyDescent="0.25">
      <c r="A131" s="351" t="s">
        <v>318</v>
      </c>
      <c r="B131" s="229" t="str">
        <f>'целевые показатели'!B247</f>
        <v>Капитальный ремонт улично-дорожной сети города Орла по ул. Кольцевая</v>
      </c>
      <c r="C131" s="326">
        <f>'целевые показатели'!I247</f>
        <v>0</v>
      </c>
      <c r="D131" s="22">
        <v>0</v>
      </c>
      <c r="E131" s="22"/>
      <c r="F131" s="327">
        <f>C131*0.95</f>
        <v>0</v>
      </c>
      <c r="G131" s="377">
        <f>C131-F131</f>
        <v>0</v>
      </c>
      <c r="J131" s="237"/>
      <c r="K131" s="237"/>
    </row>
    <row r="132" spans="1:15" s="407" customFormat="1" ht="33" hidden="1" outlineLevel="1" x14ac:dyDescent="0.25">
      <c r="A132" s="351" t="s">
        <v>317</v>
      </c>
      <c r="B132" s="402" t="str">
        <f>'целевые показатели'!B249</f>
        <v>Капитальный ремонт улично-дорожной сети города Орла по ул. Деповская</v>
      </c>
      <c r="C132" s="403">
        <f>'целевые показатели'!I249</f>
        <v>3.6842011468252167E-6</v>
      </c>
      <c r="D132" s="404">
        <v>0</v>
      </c>
      <c r="E132" s="404"/>
      <c r="F132" s="404">
        <f>C132*0.95</f>
        <v>3.4999910894839558E-6</v>
      </c>
      <c r="G132" s="405">
        <f>C132-F132</f>
        <v>1.8421005734126092E-7</v>
      </c>
      <c r="H132" s="406"/>
      <c r="I132" s="406"/>
      <c r="K132" s="408"/>
    </row>
    <row r="133" spans="1:15" s="342" customFormat="1" ht="16.5" outlineLevel="1" x14ac:dyDescent="0.25">
      <c r="A133" s="351" t="s">
        <v>318</v>
      </c>
      <c r="B133" s="347" t="str">
        <f>'целевые показатели'!B399</f>
        <v>незадействованный остаток</v>
      </c>
      <c r="C133" s="367">
        <f>'целевые показатели'!I399</f>
        <v>79157.950702842092</v>
      </c>
      <c r="D133" s="343">
        <v>0</v>
      </c>
      <c r="E133" s="343">
        <v>0</v>
      </c>
      <c r="F133" s="343">
        <f>C133*0.95</f>
        <v>75200.053167699982</v>
      </c>
      <c r="G133" s="409">
        <f>C133-F133</f>
        <v>3957.8975351421104</v>
      </c>
      <c r="H133" s="238"/>
      <c r="I133" s="238"/>
      <c r="K133" s="368"/>
    </row>
    <row r="134" spans="1:15" ht="18" customHeight="1" x14ac:dyDescent="0.25">
      <c r="A134" s="762" t="s">
        <v>18</v>
      </c>
      <c r="B134" s="763"/>
      <c r="C134" s="763"/>
      <c r="D134" s="763"/>
      <c r="E134" s="763"/>
      <c r="F134" s="763"/>
      <c r="G134" s="764"/>
      <c r="K134" s="237"/>
      <c r="O134" s="237">
        <f>1017757.4-F135</f>
        <v>1000.9999952464132</v>
      </c>
    </row>
    <row r="135" spans="1:15" x14ac:dyDescent="0.25">
      <c r="A135" s="410">
        <v>1</v>
      </c>
      <c r="B135" s="321" t="s">
        <v>44</v>
      </c>
      <c r="C135" s="313">
        <f>SUM(C137:C148)</f>
        <v>1032029.6666714682</v>
      </c>
      <c r="D135" s="313">
        <f>SUM(D137:D148)</f>
        <v>0</v>
      </c>
      <c r="E135" s="313">
        <f>SUM(E137:E148)</f>
        <v>0</v>
      </c>
      <c r="F135" s="313">
        <f>SUM(F137:F148)</f>
        <v>1016756.4000047536</v>
      </c>
      <c r="G135" s="411">
        <f>SUM(G137:G148)</f>
        <v>15273.266666714633</v>
      </c>
      <c r="H135" s="236">
        <f>'целевые показатели'!J26</f>
        <v>1032029.666671423</v>
      </c>
      <c r="I135" s="236">
        <f>774170700</f>
        <v>774170700</v>
      </c>
      <c r="K135" s="237"/>
      <c r="O135" s="17">
        <f>O134/99*100</f>
        <v>1011.1111063095083</v>
      </c>
    </row>
    <row r="136" spans="1:15" x14ac:dyDescent="0.25">
      <c r="A136" s="228" t="s">
        <v>45</v>
      </c>
      <c r="B136" s="325" t="s">
        <v>168</v>
      </c>
      <c r="C136" s="22">
        <v>734009.36356642307</v>
      </c>
      <c r="D136" s="372">
        <v>0</v>
      </c>
      <c r="E136" s="372">
        <v>0</v>
      </c>
      <c r="F136" s="22">
        <v>723399.29993080359</v>
      </c>
      <c r="G136" s="231">
        <v>10610.063635664625</v>
      </c>
      <c r="H136" s="238">
        <f>SUM(F135:G135)</f>
        <v>1032029.6666714683</v>
      </c>
      <c r="I136" s="412">
        <v>42477000</v>
      </c>
      <c r="K136" s="237"/>
      <c r="M136" s="237"/>
    </row>
    <row r="137" spans="1:15" x14ac:dyDescent="0.25">
      <c r="A137" s="330" t="s">
        <v>172</v>
      </c>
      <c r="B137" s="241" t="s">
        <v>169</v>
      </c>
      <c r="C137" s="242">
        <v>20000</v>
      </c>
      <c r="D137" s="413">
        <v>0</v>
      </c>
      <c r="E137" s="413">
        <v>0</v>
      </c>
      <c r="F137" s="243">
        <v>19800</v>
      </c>
      <c r="G137" s="244">
        <v>200</v>
      </c>
      <c r="H137" s="238">
        <f ca="1">H137-H135</f>
        <v>0</v>
      </c>
      <c r="I137" s="236">
        <f ca="1">SUM(I135:I137)</f>
        <v>0</v>
      </c>
      <c r="J137" s="17" t="s">
        <v>514</v>
      </c>
      <c r="K137" s="237"/>
    </row>
    <row r="138" spans="1:15" ht="31.5" x14ac:dyDescent="0.25">
      <c r="A138" s="330" t="s">
        <v>173</v>
      </c>
      <c r="B138" s="241" t="s">
        <v>178</v>
      </c>
      <c r="C138" s="242">
        <v>100873.39939999999</v>
      </c>
      <c r="D138" s="413">
        <v>0</v>
      </c>
      <c r="E138" s="413">
        <v>0</v>
      </c>
      <c r="F138" s="243">
        <v>99864.665406</v>
      </c>
      <c r="G138" s="244">
        <v>1008.7339939999947</v>
      </c>
      <c r="I138" s="414">
        <f>717737700+2005200</f>
        <v>719742900</v>
      </c>
      <c r="J138" s="415">
        <v>718742885.70000005</v>
      </c>
      <c r="K138" s="237"/>
    </row>
    <row r="139" spans="1:15" ht="31.5" x14ac:dyDescent="0.25">
      <c r="A139" s="330" t="s">
        <v>174</v>
      </c>
      <c r="B139" s="241" t="s">
        <v>170</v>
      </c>
      <c r="C139" s="242">
        <v>8570.6262054500003</v>
      </c>
      <c r="D139" s="413">
        <v>0</v>
      </c>
      <c r="E139" s="413">
        <v>0</v>
      </c>
      <c r="F139" s="243">
        <v>8484.9199433955</v>
      </c>
      <c r="G139" s="244">
        <v>85.706262054500257</v>
      </c>
      <c r="H139" s="416"/>
      <c r="I139" s="236">
        <v>82300000</v>
      </c>
      <c r="J139" s="86" t="s">
        <v>524</v>
      </c>
      <c r="K139" s="86"/>
    </row>
    <row r="140" spans="1:15" s="342" customFormat="1" ht="31.5" x14ac:dyDescent="0.25">
      <c r="A140" s="417" t="s">
        <v>175</v>
      </c>
      <c r="B140" s="336" t="s">
        <v>410</v>
      </c>
      <c r="C140" s="418">
        <v>2300</v>
      </c>
      <c r="D140" s="419">
        <v>0</v>
      </c>
      <c r="E140" s="419">
        <v>0</v>
      </c>
      <c r="F140" s="420">
        <v>0</v>
      </c>
      <c r="G140" s="421">
        <v>2300</v>
      </c>
      <c r="H140" s="238" t="s">
        <v>158</v>
      </c>
      <c r="I140" s="238">
        <f>J138+I139</f>
        <v>801042885.70000005</v>
      </c>
      <c r="J140" s="341" t="s">
        <v>661</v>
      </c>
      <c r="K140" s="341"/>
    </row>
    <row r="141" spans="1:15" s="342" customFormat="1" ht="63" x14ac:dyDescent="0.25">
      <c r="A141" s="417" t="s">
        <v>390</v>
      </c>
      <c r="B141" s="422" t="s">
        <v>421</v>
      </c>
      <c r="C141" s="418">
        <v>1003</v>
      </c>
      <c r="D141" s="419">
        <v>0</v>
      </c>
      <c r="E141" s="419">
        <v>0</v>
      </c>
      <c r="F141" s="420">
        <v>0</v>
      </c>
      <c r="G141" s="421">
        <v>1003</v>
      </c>
      <c r="H141" s="238" t="s">
        <v>158</v>
      </c>
      <c r="I141" s="238"/>
      <c r="J141" s="423"/>
      <c r="K141" s="368"/>
    </row>
    <row r="142" spans="1:15" x14ac:dyDescent="0.25">
      <c r="A142" s="330" t="s">
        <v>662</v>
      </c>
      <c r="B142" s="241" t="s">
        <v>171</v>
      </c>
      <c r="C142" s="242">
        <v>601262.3379610182</v>
      </c>
      <c r="D142" s="413">
        <v>0</v>
      </c>
      <c r="E142" s="413">
        <v>0</v>
      </c>
      <c r="F142" s="243">
        <v>595249.71458140807</v>
      </c>
      <c r="G142" s="244">
        <v>6012.6233796101296</v>
      </c>
      <c r="H142" s="424"/>
      <c r="I142" s="425"/>
      <c r="K142" s="237"/>
    </row>
    <row r="143" spans="1:15" x14ac:dyDescent="0.25">
      <c r="A143" s="228" t="s">
        <v>46</v>
      </c>
      <c r="B143" s="325" t="s">
        <v>23</v>
      </c>
      <c r="C143" s="22">
        <v>44974.949495000001</v>
      </c>
      <c r="D143" s="372">
        <v>0</v>
      </c>
      <c r="E143" s="372">
        <v>0</v>
      </c>
      <c r="F143" s="22">
        <v>44525.200000049997</v>
      </c>
      <c r="G143" s="231">
        <v>449.74949495000328</v>
      </c>
      <c r="K143" s="237"/>
    </row>
    <row r="144" spans="1:15" ht="78.75" x14ac:dyDescent="0.25">
      <c r="A144" s="228" t="s">
        <v>47</v>
      </c>
      <c r="B144" s="325" t="s">
        <v>467</v>
      </c>
      <c r="C144" s="22">
        <v>116193.90360000001</v>
      </c>
      <c r="D144" s="372">
        <v>0</v>
      </c>
      <c r="E144" s="372">
        <v>0</v>
      </c>
      <c r="F144" s="22">
        <v>115031.96456400001</v>
      </c>
      <c r="G144" s="231">
        <v>1161.9390359999961</v>
      </c>
      <c r="I144" s="426"/>
      <c r="J144" s="237"/>
      <c r="K144" s="237"/>
    </row>
    <row r="145" spans="1:12" ht="35.25" customHeight="1" x14ac:dyDescent="0.25">
      <c r="A145" s="228" t="s">
        <v>48</v>
      </c>
      <c r="B145" s="18" t="s">
        <v>225</v>
      </c>
      <c r="C145" s="22">
        <v>35353.535349999998</v>
      </c>
      <c r="D145" s="372">
        <v>0</v>
      </c>
      <c r="E145" s="372">
        <v>0</v>
      </c>
      <c r="F145" s="22">
        <v>34999.999996499995</v>
      </c>
      <c r="G145" s="231">
        <v>353.53535350000311</v>
      </c>
      <c r="K145" s="237"/>
    </row>
    <row r="146" spans="1:12" ht="31.5" x14ac:dyDescent="0.25">
      <c r="A146" s="228" t="s">
        <v>49</v>
      </c>
      <c r="B146" s="18" t="s">
        <v>25</v>
      </c>
      <c r="C146" s="22">
        <v>32050.50505</v>
      </c>
      <c r="D146" s="372">
        <v>0</v>
      </c>
      <c r="E146" s="372">
        <v>0</v>
      </c>
      <c r="F146" s="22">
        <v>31729.9999995</v>
      </c>
      <c r="G146" s="231">
        <v>320.50505049999992</v>
      </c>
      <c r="K146" s="237"/>
    </row>
    <row r="147" spans="1:12" x14ac:dyDescent="0.25">
      <c r="A147" s="228" t="s">
        <v>155</v>
      </c>
      <c r="B147" s="18" t="s">
        <v>154</v>
      </c>
      <c r="C147" s="22">
        <v>1700</v>
      </c>
      <c r="D147" s="372">
        <v>0</v>
      </c>
      <c r="E147" s="372">
        <v>0</v>
      </c>
      <c r="F147" s="22">
        <v>0</v>
      </c>
      <c r="G147" s="239">
        <v>1700</v>
      </c>
      <c r="H147" s="238" t="s">
        <v>158</v>
      </c>
      <c r="K147" s="237"/>
    </row>
    <row r="148" spans="1:12" x14ac:dyDescent="0.25">
      <c r="A148" s="228" t="s">
        <v>190</v>
      </c>
      <c r="B148" s="18" t="str">
        <f>'целевые показатели'!B34</f>
        <v>кредиторская задолженность предыдущих лет</v>
      </c>
      <c r="C148" s="22">
        <v>67747.409610000002</v>
      </c>
      <c r="D148" s="372">
        <v>0</v>
      </c>
      <c r="E148" s="372">
        <v>0</v>
      </c>
      <c r="F148" s="22">
        <v>67069.935513899996</v>
      </c>
      <c r="G148" s="231">
        <v>677.47409610000614</v>
      </c>
      <c r="K148" s="237"/>
    </row>
    <row r="149" spans="1:12" ht="31.5" x14ac:dyDescent="0.25">
      <c r="A149" s="410">
        <v>2</v>
      </c>
      <c r="B149" s="321" t="s">
        <v>15</v>
      </c>
      <c r="C149" s="396">
        <f>SUM(C150:C182)</f>
        <v>47381.027369999923</v>
      </c>
      <c r="D149" s="396">
        <f>SUM(D181:D182)</f>
        <v>0</v>
      </c>
      <c r="E149" s="396">
        <f>SUM(E181:E182)</f>
        <v>0</v>
      </c>
      <c r="F149" s="396">
        <f>SUM(F150:F182)</f>
        <v>45620.21709630001</v>
      </c>
      <c r="G149" s="427">
        <f>SUM(G150:G182)</f>
        <v>1760.8102736999981</v>
      </c>
      <c r="H149" s="236">
        <f>'целевые показатели'!J41</f>
        <v>47381.027370000003</v>
      </c>
      <c r="J149" s="237"/>
      <c r="K149" s="237">
        <f>F149+F199</f>
        <v>358334.67801780009</v>
      </c>
      <c r="L149" s="17">
        <v>407277.5</v>
      </c>
    </row>
    <row r="150" spans="1:12" ht="16.5" x14ac:dyDescent="0.25">
      <c r="A150" s="428" t="s">
        <v>159</v>
      </c>
      <c r="B150" s="229" t="s">
        <v>153</v>
      </c>
      <c r="C150" s="230">
        <v>9370.0302800000009</v>
      </c>
      <c r="D150" s="230">
        <v>0</v>
      </c>
      <c r="E150" s="230">
        <v>0</v>
      </c>
      <c r="F150" s="230">
        <v>9276.3299772000009</v>
      </c>
      <c r="G150" s="429">
        <v>93.700302799999918</v>
      </c>
      <c r="J150" s="237"/>
      <c r="K150" s="237">
        <v>377804.08205000003</v>
      </c>
      <c r="L150" s="237">
        <f>L149-K149</f>
        <v>48942.821982199908</v>
      </c>
    </row>
    <row r="151" spans="1:12" ht="16.5" x14ac:dyDescent="0.25">
      <c r="A151" s="228" t="s">
        <v>160</v>
      </c>
      <c r="B151" s="347" t="s">
        <v>476</v>
      </c>
      <c r="C151" s="230">
        <v>33160</v>
      </c>
      <c r="D151" s="230">
        <v>0</v>
      </c>
      <c r="E151" s="230">
        <v>0</v>
      </c>
      <c r="F151" s="230">
        <v>32828.400000000001</v>
      </c>
      <c r="G151" s="429">
        <v>331.59999999999854</v>
      </c>
      <c r="J151" s="237"/>
      <c r="K151" s="237">
        <f>K149-K150</f>
        <v>-19469.404032199935</v>
      </c>
    </row>
    <row r="152" spans="1:12" ht="33" x14ac:dyDescent="0.25">
      <c r="A152" s="228" t="s">
        <v>161</v>
      </c>
      <c r="B152" s="229" t="s">
        <v>448</v>
      </c>
      <c r="C152" s="230">
        <v>212.51168000000001</v>
      </c>
      <c r="D152" s="230">
        <v>0</v>
      </c>
      <c r="E152" s="230">
        <v>0</v>
      </c>
      <c r="F152" s="230">
        <v>0</v>
      </c>
      <c r="G152" s="430">
        <v>212.51168000000001</v>
      </c>
      <c r="H152" s="238" t="s">
        <v>158</v>
      </c>
      <c r="J152" s="237"/>
      <c r="K152" s="237">
        <f>431032.97772-K149</f>
        <v>72698.299702199933</v>
      </c>
    </row>
    <row r="153" spans="1:12" ht="33" x14ac:dyDescent="0.25">
      <c r="A153" s="228" t="s">
        <v>162</v>
      </c>
      <c r="B153" s="229" t="str">
        <f>'целевые показатели'!B75</f>
        <v>Ремонт ул.Комсомольская (элементы обустройства автомобильных дорог)</v>
      </c>
      <c r="C153" s="230">
        <v>77.045190000000005</v>
      </c>
      <c r="D153" s="230">
        <v>0</v>
      </c>
      <c r="E153" s="230">
        <v>0</v>
      </c>
      <c r="F153" s="230">
        <v>76.274738100000008</v>
      </c>
      <c r="G153" s="430">
        <v>0.77045189999999764</v>
      </c>
      <c r="H153" s="238"/>
      <c r="J153" s="237"/>
      <c r="K153" s="237"/>
    </row>
    <row r="154" spans="1:12" ht="33" x14ac:dyDescent="0.25">
      <c r="A154" s="228" t="s">
        <v>447</v>
      </c>
      <c r="B154" s="229" t="str">
        <f>'целевые показатели'!B76</f>
        <v>Ремонт ул. Октябрьская (элементы обустройства автомобильных дорог)</v>
      </c>
      <c r="C154" s="230">
        <v>25.681730000000002</v>
      </c>
      <c r="D154" s="230">
        <v>0</v>
      </c>
      <c r="E154" s="230">
        <v>0</v>
      </c>
      <c r="F154" s="230">
        <v>25.4249127</v>
      </c>
      <c r="G154" s="429">
        <v>0.25681730000000158</v>
      </c>
      <c r="H154" s="238"/>
      <c r="J154" s="237"/>
      <c r="K154" s="237"/>
    </row>
    <row r="155" spans="1:12" ht="33" x14ac:dyDescent="0.25">
      <c r="A155" s="228" t="s">
        <v>163</v>
      </c>
      <c r="B155" s="229" t="s">
        <v>334</v>
      </c>
      <c r="C155" s="230">
        <v>410.90768000000003</v>
      </c>
      <c r="D155" s="230">
        <v>0</v>
      </c>
      <c r="E155" s="230">
        <v>0</v>
      </c>
      <c r="F155" s="230">
        <v>406.7986032</v>
      </c>
      <c r="G155" s="429">
        <v>4.1090768000000253</v>
      </c>
      <c r="H155" s="238"/>
      <c r="J155" s="237"/>
      <c r="K155" s="237"/>
    </row>
    <row r="156" spans="1:12" ht="33" x14ac:dyDescent="0.25">
      <c r="A156" s="228" t="s">
        <v>164</v>
      </c>
      <c r="B156" s="229" t="str">
        <f>'целевые показатели'!B90</f>
        <v>Ремонт Новосильское шоссе (элементы обустройства автомобильных дорог)</v>
      </c>
      <c r="C156" s="230">
        <v>25.681730000000002</v>
      </c>
      <c r="D156" s="230">
        <v>0</v>
      </c>
      <c r="E156" s="230">
        <v>0</v>
      </c>
      <c r="F156" s="230">
        <v>25.4249127</v>
      </c>
      <c r="G156" s="429">
        <v>0.25681730000000158</v>
      </c>
      <c r="H156" s="238"/>
      <c r="J156" s="237"/>
      <c r="K156" s="237"/>
    </row>
    <row r="157" spans="1:12" ht="33" x14ac:dyDescent="0.25">
      <c r="A157" s="228" t="s">
        <v>165</v>
      </c>
      <c r="B157" s="229" t="str">
        <f>'целевые показатели'!B91</f>
        <v>Ремонт ул. Ливенская (элементы обустройства автомобильных дорог)</v>
      </c>
      <c r="C157" s="230">
        <v>25.681730000000002</v>
      </c>
      <c r="D157" s="230">
        <v>0</v>
      </c>
      <c r="E157" s="230">
        <v>0</v>
      </c>
      <c r="F157" s="230">
        <v>25.4249127</v>
      </c>
      <c r="G157" s="429">
        <v>0.25681730000000158</v>
      </c>
      <c r="H157" s="238"/>
      <c r="J157" s="237"/>
      <c r="K157" s="237"/>
    </row>
    <row r="158" spans="1:12" ht="33" x14ac:dyDescent="0.25">
      <c r="A158" s="228" t="s">
        <v>166</v>
      </c>
      <c r="B158" s="229" t="s">
        <v>335</v>
      </c>
      <c r="C158" s="230">
        <v>436.58941000000004</v>
      </c>
      <c r="D158" s="230">
        <v>0</v>
      </c>
      <c r="E158" s="230">
        <v>0</v>
      </c>
      <c r="F158" s="230">
        <v>432.22351590000005</v>
      </c>
      <c r="G158" s="429">
        <v>4.3658940999999913</v>
      </c>
      <c r="H158" s="238"/>
      <c r="J158" s="237"/>
      <c r="K158" s="237"/>
    </row>
    <row r="159" spans="1:12" ht="33" x14ac:dyDescent="0.25">
      <c r="A159" s="228" t="s">
        <v>431</v>
      </c>
      <c r="B159" s="229" t="s">
        <v>339</v>
      </c>
      <c r="C159" s="230">
        <v>25.681730000000002</v>
      </c>
      <c r="D159" s="230">
        <v>0</v>
      </c>
      <c r="E159" s="230">
        <v>0</v>
      </c>
      <c r="F159" s="230">
        <v>25.4249127</v>
      </c>
      <c r="G159" s="429">
        <v>0.25681730000000158</v>
      </c>
      <c r="H159" s="238"/>
      <c r="J159" s="237"/>
      <c r="K159" s="237"/>
    </row>
    <row r="160" spans="1:12" ht="33" x14ac:dyDescent="0.25">
      <c r="A160" s="228" t="s">
        <v>456</v>
      </c>
      <c r="B160" s="229" t="s">
        <v>340</v>
      </c>
      <c r="C160" s="230">
        <v>102.72692000000001</v>
      </c>
      <c r="D160" s="230">
        <v>0</v>
      </c>
      <c r="E160" s="230">
        <v>0</v>
      </c>
      <c r="F160" s="230">
        <v>101.6996508</v>
      </c>
      <c r="G160" s="429">
        <v>1.0272692000000063</v>
      </c>
      <c r="H160" s="238"/>
      <c r="J160" s="237"/>
      <c r="K160" s="237"/>
    </row>
    <row r="161" spans="1:11" ht="33" x14ac:dyDescent="0.25">
      <c r="A161" s="228" t="s">
        <v>457</v>
      </c>
      <c r="B161" s="229" t="s">
        <v>342</v>
      </c>
      <c r="C161" s="230">
        <v>25.681730000000002</v>
      </c>
      <c r="D161" s="230">
        <v>0</v>
      </c>
      <c r="E161" s="230">
        <v>0</v>
      </c>
      <c r="F161" s="230">
        <v>25.4249127</v>
      </c>
      <c r="G161" s="429">
        <v>0.25681730000000158</v>
      </c>
      <c r="H161" s="238"/>
      <c r="J161" s="237"/>
      <c r="K161" s="237"/>
    </row>
    <row r="162" spans="1:11" ht="33" x14ac:dyDescent="0.25">
      <c r="A162" s="228" t="s">
        <v>458</v>
      </c>
      <c r="B162" s="229" t="s">
        <v>341</v>
      </c>
      <c r="C162" s="230">
        <v>25.681730000000002</v>
      </c>
      <c r="D162" s="230">
        <v>0</v>
      </c>
      <c r="E162" s="230">
        <v>0</v>
      </c>
      <c r="F162" s="230">
        <v>25.4249127</v>
      </c>
      <c r="G162" s="429">
        <v>0.25681730000000158</v>
      </c>
      <c r="H162" s="238"/>
      <c r="J162" s="237"/>
      <c r="K162" s="237"/>
    </row>
    <row r="163" spans="1:11" ht="33" x14ac:dyDescent="0.25">
      <c r="A163" s="228" t="s">
        <v>459</v>
      </c>
      <c r="B163" s="229" t="str">
        <f>'целевые показатели'!B92</f>
        <v>Ремонт ул. Паровозная (элементы обустройства автомобильных дорог)</v>
      </c>
      <c r="C163" s="230">
        <v>51.363460000000003</v>
      </c>
      <c r="D163" s="230">
        <v>0</v>
      </c>
      <c r="E163" s="230">
        <v>0</v>
      </c>
      <c r="F163" s="230">
        <v>50.8498254</v>
      </c>
      <c r="G163" s="429">
        <v>0.51363460000000316</v>
      </c>
      <c r="H163" s="238"/>
      <c r="J163" s="237"/>
      <c r="K163" s="237"/>
    </row>
    <row r="164" spans="1:11" ht="33" x14ac:dyDescent="0.25">
      <c r="A164" s="228" t="s">
        <v>460</v>
      </c>
      <c r="B164" s="229" t="s">
        <v>450</v>
      </c>
      <c r="C164" s="230">
        <v>179.77211</v>
      </c>
      <c r="D164" s="230">
        <v>0</v>
      </c>
      <c r="E164" s="230">
        <v>0</v>
      </c>
      <c r="F164" s="230">
        <v>177.97438890000001</v>
      </c>
      <c r="G164" s="429">
        <v>1.7977210999999897</v>
      </c>
      <c r="H164" s="238"/>
      <c r="J164" s="237"/>
      <c r="K164" s="237"/>
    </row>
    <row r="165" spans="1:11" ht="33" x14ac:dyDescent="0.25">
      <c r="A165" s="228" t="s">
        <v>461</v>
      </c>
      <c r="B165" s="229" t="s">
        <v>451</v>
      </c>
      <c r="C165" s="230">
        <v>77.045190000000005</v>
      </c>
      <c r="D165" s="230">
        <v>0</v>
      </c>
      <c r="E165" s="230">
        <v>0</v>
      </c>
      <c r="F165" s="230">
        <v>76.274738100000008</v>
      </c>
      <c r="G165" s="429">
        <v>0.77045189999999764</v>
      </c>
      <c r="H165" s="238"/>
      <c r="J165" s="237"/>
      <c r="K165" s="237"/>
    </row>
    <row r="166" spans="1:11" ht="33" x14ac:dyDescent="0.25">
      <c r="A166" s="228" t="s">
        <v>471</v>
      </c>
      <c r="B166" s="229" t="s">
        <v>452</v>
      </c>
      <c r="C166" s="230">
        <v>25.681730000000002</v>
      </c>
      <c r="D166" s="230">
        <v>0</v>
      </c>
      <c r="E166" s="230">
        <v>0</v>
      </c>
      <c r="F166" s="230">
        <v>25.4249127</v>
      </c>
      <c r="G166" s="429">
        <v>0.25681730000000158</v>
      </c>
      <c r="J166" s="237"/>
      <c r="K166" s="237"/>
    </row>
    <row r="167" spans="1:11" ht="33" x14ac:dyDescent="0.25">
      <c r="A167" s="228" t="s">
        <v>472</v>
      </c>
      <c r="B167" s="229" t="s">
        <v>455</v>
      </c>
      <c r="C167" s="230">
        <v>25.681730000000002</v>
      </c>
      <c r="D167" s="230">
        <v>0</v>
      </c>
      <c r="E167" s="230">
        <v>0</v>
      </c>
      <c r="F167" s="230">
        <v>25.4249127</v>
      </c>
      <c r="G167" s="429">
        <v>0.25681730000000158</v>
      </c>
      <c r="J167" s="237"/>
      <c r="K167" s="237"/>
    </row>
    <row r="168" spans="1:11" ht="33" x14ac:dyDescent="0.25">
      <c r="A168" s="228" t="s">
        <v>474</v>
      </c>
      <c r="B168" s="229" t="s">
        <v>453</v>
      </c>
      <c r="C168" s="230">
        <v>25.681730000000002</v>
      </c>
      <c r="D168" s="230">
        <v>0</v>
      </c>
      <c r="E168" s="230">
        <v>0</v>
      </c>
      <c r="F168" s="230">
        <v>25.4249127</v>
      </c>
      <c r="G168" s="429">
        <v>0.25681730000000158</v>
      </c>
      <c r="J168" s="237"/>
      <c r="K168" s="237"/>
    </row>
    <row r="169" spans="1:11" ht="33" x14ac:dyDescent="0.25">
      <c r="A169" s="228" t="s">
        <v>475</v>
      </c>
      <c r="B169" s="229" t="s">
        <v>663</v>
      </c>
      <c r="C169" s="230">
        <v>25.681730000000002</v>
      </c>
      <c r="D169" s="230">
        <v>0</v>
      </c>
      <c r="E169" s="230">
        <v>0</v>
      </c>
      <c r="F169" s="230">
        <v>25.4249127</v>
      </c>
      <c r="G169" s="429">
        <v>0.25681730000000158</v>
      </c>
      <c r="J169" s="237"/>
      <c r="K169" s="237"/>
    </row>
    <row r="170" spans="1:11" ht="33" x14ac:dyDescent="0.25">
      <c r="A170" s="228" t="s">
        <v>477</v>
      </c>
      <c r="B170" s="229" t="str">
        <f>'целевые показатели'!B100</f>
        <v>Ремонт ул.Городская (элементы обустройства автомобильных дорог)</v>
      </c>
      <c r="C170" s="230">
        <v>25.681730000000002</v>
      </c>
      <c r="D170" s="230">
        <v>0</v>
      </c>
      <c r="E170" s="230">
        <v>0</v>
      </c>
      <c r="F170" s="230">
        <v>25.4249127</v>
      </c>
      <c r="G170" s="429">
        <v>0.25681730000000158</v>
      </c>
      <c r="J170" s="237"/>
      <c r="K170" s="237"/>
    </row>
    <row r="171" spans="1:11" ht="33" x14ac:dyDescent="0.25">
      <c r="A171" s="228" t="s">
        <v>479</v>
      </c>
      <c r="B171" s="229" t="str">
        <f>'целевые показатели'!B101</f>
        <v>Ремонт ул.1-я Курская (элементы обустройства автомобильных дорог)</v>
      </c>
      <c r="C171" s="230">
        <v>77.045190000000005</v>
      </c>
      <c r="D171" s="230">
        <v>0</v>
      </c>
      <c r="E171" s="230">
        <v>0</v>
      </c>
      <c r="F171" s="230">
        <v>76.274738100000008</v>
      </c>
      <c r="G171" s="429">
        <v>0.77045189999999764</v>
      </c>
      <c r="J171" s="237"/>
      <c r="K171" s="237"/>
    </row>
    <row r="172" spans="1:11" ht="33" customHeight="1" x14ac:dyDescent="0.25">
      <c r="A172" s="228" t="s">
        <v>482</v>
      </c>
      <c r="B172" s="229" t="str">
        <f>'целевые показатели'!B102</f>
        <v>Ремонт ул. Садово-Пушкарная (сквер "Комсомольцев") (элементы обустройства автомобильных дорог)</v>
      </c>
      <c r="C172" s="230">
        <v>25.681730000000002</v>
      </c>
      <c r="D172" s="230">
        <v>0</v>
      </c>
      <c r="E172" s="230">
        <v>0</v>
      </c>
      <c r="F172" s="230">
        <v>25.4249127</v>
      </c>
      <c r="G172" s="429">
        <v>0.25681730000000158</v>
      </c>
      <c r="J172" s="237"/>
      <c r="K172" s="237"/>
    </row>
    <row r="173" spans="1:11" ht="33" customHeight="1" x14ac:dyDescent="0.25">
      <c r="A173" s="228" t="s">
        <v>483</v>
      </c>
      <c r="B173" s="229" t="str">
        <f>'целевые показатели'!B103</f>
        <v>Ремонт ул. Скворцова (элементы обустройства автомобильных дорог)</v>
      </c>
      <c r="C173" s="230">
        <v>25.681730000000002</v>
      </c>
      <c r="D173" s="230">
        <v>0</v>
      </c>
      <c r="E173" s="230">
        <v>0</v>
      </c>
      <c r="F173" s="230">
        <v>25.4249127</v>
      </c>
      <c r="G173" s="429">
        <v>0.25681730000000158</v>
      </c>
      <c r="J173" s="237"/>
      <c r="K173" s="237"/>
    </row>
    <row r="174" spans="1:11" ht="33" customHeight="1" x14ac:dyDescent="0.25">
      <c r="A174" s="228" t="s">
        <v>485</v>
      </c>
      <c r="B174" s="229" t="str">
        <f>'целевые показатели'!B105</f>
        <v>Ремонт ул.Полярная (элементы обустройства автомобильных дорог)</v>
      </c>
      <c r="C174" s="230">
        <v>51.363460000000003</v>
      </c>
      <c r="D174" s="230">
        <v>0</v>
      </c>
      <c r="E174" s="230">
        <v>0</v>
      </c>
      <c r="F174" s="230">
        <v>50.8498254</v>
      </c>
      <c r="G174" s="429">
        <v>0.51363460000000316</v>
      </c>
      <c r="J174" s="237"/>
      <c r="K174" s="237"/>
    </row>
    <row r="175" spans="1:11" ht="33" x14ac:dyDescent="0.25">
      <c r="A175" s="228" t="s">
        <v>487</v>
      </c>
      <c r="B175" s="229" t="str">
        <f>'целевые показатели'!B105</f>
        <v>Ремонт ул.Полярная (элементы обустройства автомобильных дорог)</v>
      </c>
      <c r="C175" s="230">
        <v>51.363460000000003</v>
      </c>
      <c r="D175" s="230">
        <v>0</v>
      </c>
      <c r="E175" s="230">
        <v>0</v>
      </c>
      <c r="F175" s="230">
        <v>50.8498254</v>
      </c>
      <c r="G175" s="429">
        <v>0.51363460000000316</v>
      </c>
      <c r="H175" s="238"/>
      <c r="J175" s="237"/>
      <c r="K175" s="237"/>
    </row>
    <row r="176" spans="1:11" ht="33" x14ac:dyDescent="0.25">
      <c r="A176" s="228" t="s">
        <v>507</v>
      </c>
      <c r="B176" s="229" t="str">
        <f>'целевые показатели'!B106</f>
        <v>Ремонт ул.Левый Берег реки Орлик "ТРУД" (элементы обустройства автомобильных дорог)</v>
      </c>
      <c r="C176" s="230">
        <v>25.681730000000002</v>
      </c>
      <c r="D176" s="230">
        <v>0</v>
      </c>
      <c r="E176" s="230">
        <v>0</v>
      </c>
      <c r="F176" s="230">
        <v>25.4249127</v>
      </c>
      <c r="G176" s="429">
        <v>0.25681730000000158</v>
      </c>
      <c r="H176" s="238"/>
      <c r="J176" s="237"/>
      <c r="K176" s="237"/>
    </row>
    <row r="177" spans="1:12" ht="33" x14ac:dyDescent="0.25">
      <c r="A177" s="228" t="s">
        <v>508</v>
      </c>
      <c r="B177" s="229" t="str">
        <f>'целевые показатели'!B107</f>
        <v>Ремонт Старомосковское шоссе (элементы обустройства автомобильных дорог)</v>
      </c>
      <c r="C177" s="230">
        <v>25.681730000000002</v>
      </c>
      <c r="D177" s="230">
        <v>0</v>
      </c>
      <c r="E177" s="230">
        <v>0</v>
      </c>
      <c r="F177" s="230">
        <v>25.4249127</v>
      </c>
      <c r="G177" s="429">
        <v>0.25681730000000158</v>
      </c>
      <c r="H177" s="238"/>
      <c r="J177" s="237"/>
      <c r="K177" s="237"/>
    </row>
    <row r="178" spans="1:12" ht="33" x14ac:dyDescent="0.25">
      <c r="A178" s="228" t="s">
        <v>509</v>
      </c>
      <c r="B178" s="229" t="str">
        <f>'целевые показатели'!B108</f>
        <v>Ремонт ул.Игнатова (элементы обустройства автомобильных дорог)</v>
      </c>
      <c r="C178" s="230">
        <v>25.681730000000002</v>
      </c>
      <c r="D178" s="230">
        <v>0</v>
      </c>
      <c r="E178" s="230">
        <v>0</v>
      </c>
      <c r="F178" s="230">
        <v>25.4249127</v>
      </c>
      <c r="G178" s="429">
        <v>0.25681730000000158</v>
      </c>
      <c r="H178" s="238"/>
      <c r="J178" s="237"/>
      <c r="K178" s="237"/>
    </row>
    <row r="179" spans="1:12" ht="33" x14ac:dyDescent="0.25">
      <c r="A179" s="228" t="s">
        <v>510</v>
      </c>
      <c r="B179" s="229" t="str">
        <f>'целевые показатели'!B109</f>
        <v>Ремонт пл.Богоявленской (элементы обустройства автомобильных дорог)</v>
      </c>
      <c r="C179" s="230">
        <v>25.681730000000002</v>
      </c>
      <c r="D179" s="230">
        <v>0</v>
      </c>
      <c r="E179" s="230">
        <v>0</v>
      </c>
      <c r="F179" s="230">
        <v>25.4249127</v>
      </c>
      <c r="G179" s="429">
        <v>0.25681730000000158</v>
      </c>
      <c r="H179" s="238"/>
      <c r="J179" s="237"/>
      <c r="K179" s="237"/>
    </row>
    <row r="180" spans="1:12" ht="33" x14ac:dyDescent="0.25">
      <c r="A180" s="228" t="s">
        <v>511</v>
      </c>
      <c r="B180" s="229" t="str">
        <f>'целевые показатели'!B110</f>
        <v>Ремонт ул.Гуртьева (элементы обустройства автомобильных дорог)</v>
      </c>
      <c r="C180" s="230">
        <v>25.681730000000002</v>
      </c>
      <c r="D180" s="230">
        <v>0</v>
      </c>
      <c r="E180" s="230">
        <v>0</v>
      </c>
      <c r="F180" s="230">
        <v>25.4249127</v>
      </c>
      <c r="G180" s="429">
        <v>0.25681730000000158</v>
      </c>
      <c r="H180" s="238"/>
      <c r="I180" s="236">
        <v>431033</v>
      </c>
      <c r="J180" s="237"/>
      <c r="K180" s="237"/>
    </row>
    <row r="181" spans="1:12" ht="21" customHeight="1" x14ac:dyDescent="0.25">
      <c r="A181" s="228" t="s">
        <v>512</v>
      </c>
      <c r="B181" s="18" t="s">
        <v>468</v>
      </c>
      <c r="C181" s="22">
        <v>1573.50388</v>
      </c>
      <c r="D181" s="22">
        <v>0</v>
      </c>
      <c r="E181" s="230">
        <v>0</v>
      </c>
      <c r="F181" s="230">
        <v>1557.7688412</v>
      </c>
      <c r="G181" s="235">
        <v>15.735038799999984</v>
      </c>
      <c r="H181" s="348" t="s">
        <v>408</v>
      </c>
      <c r="I181" s="236">
        <f>F149+F199</f>
        <v>358334.67801780009</v>
      </c>
      <c r="J181" s="431" t="s">
        <v>385</v>
      </c>
      <c r="K181" s="431"/>
    </row>
    <row r="182" spans="1:12" ht="36" customHeight="1" x14ac:dyDescent="0.25">
      <c r="A182" s="228" t="s">
        <v>513</v>
      </c>
      <c r="B182" s="18" t="s">
        <v>27</v>
      </c>
      <c r="C182" s="22">
        <v>1087.4883199999999</v>
      </c>
      <c r="D182" s="22">
        <v>0</v>
      </c>
      <c r="E182" s="230">
        <v>0</v>
      </c>
      <c r="F182" s="22">
        <v>0</v>
      </c>
      <c r="G182" s="496">
        <v>1087.4883199999999</v>
      </c>
      <c r="H182" s="238" t="s">
        <v>158</v>
      </c>
      <c r="I182" s="432">
        <v>379047.3</v>
      </c>
      <c r="J182" s="433"/>
      <c r="K182" s="237"/>
      <c r="L182" s="237"/>
    </row>
    <row r="183" spans="1:12" ht="94.5" x14ac:dyDescent="0.25">
      <c r="A183" s="410">
        <v>3</v>
      </c>
      <c r="B183" s="321" t="s">
        <v>436</v>
      </c>
      <c r="C183" s="313">
        <f>SUM(C184:C190)</f>
        <v>425536.45455000002</v>
      </c>
      <c r="D183" s="313">
        <f>SUM(D184:D185)</f>
        <v>0</v>
      </c>
      <c r="E183" s="313">
        <f>SUM(E184:E190)</f>
        <v>0</v>
      </c>
      <c r="F183" s="313">
        <f>SUM(F184:F190)</f>
        <v>418280.40000449994</v>
      </c>
      <c r="G183" s="495">
        <f>SUM(G184:G190)</f>
        <v>7256.0545455000101</v>
      </c>
      <c r="H183" s="236">
        <f>'целевые показатели'!J139</f>
        <v>425536.45455000002</v>
      </c>
      <c r="I183" s="245">
        <f>287882773.74/1000</f>
        <v>287882.77374000003</v>
      </c>
      <c r="J183" s="142">
        <v>290000</v>
      </c>
      <c r="K183" s="431" t="s">
        <v>385</v>
      </c>
    </row>
    <row r="184" spans="1:12" ht="31.5" x14ac:dyDescent="0.25">
      <c r="A184" s="228" t="s">
        <v>68</v>
      </c>
      <c r="B184" s="18" t="str">
        <f>'целевые показатели'!B145</f>
        <v>Карачевское шоссе, 2 этап (на участке от ул.Мостовой до черты города)</v>
      </c>
      <c r="C184" s="22">
        <v>91884.078980000006</v>
      </c>
      <c r="D184" s="22">
        <v>0</v>
      </c>
      <c r="E184" s="22">
        <v>0</v>
      </c>
      <c r="F184" s="22">
        <v>90965.238190200005</v>
      </c>
      <c r="G184" s="328">
        <v>918.84078980000049</v>
      </c>
      <c r="I184" s="236">
        <f>I181-379047.3</f>
        <v>-20712.621982199897</v>
      </c>
      <c r="J184" s="237"/>
      <c r="K184" s="237">
        <v>418280.4</v>
      </c>
    </row>
    <row r="185" spans="1:12" ht="31.5" x14ac:dyDescent="0.25">
      <c r="A185" s="228" t="s">
        <v>69</v>
      </c>
      <c r="B185" s="18" t="str">
        <f>'целевые показатели'!B146</f>
        <v>ул.Комсомольская от Карачевского шоссе до Кромского шоссе (проезжая часть)</v>
      </c>
      <c r="C185" s="22">
        <v>141186.55783999999</v>
      </c>
      <c r="D185" s="22">
        <v>0</v>
      </c>
      <c r="E185" s="22">
        <v>0</v>
      </c>
      <c r="F185" s="22">
        <v>139774.69226159999</v>
      </c>
      <c r="G185" s="328">
        <v>1411.8655784000002</v>
      </c>
      <c r="K185" s="237">
        <f>K184-F183</f>
        <v>-4.4999178498983383E-6</v>
      </c>
      <c r="L185" s="17">
        <f>K185/99*100</f>
        <v>-4.5453715655538772E-6</v>
      </c>
    </row>
    <row r="186" spans="1:12" ht="45.75" customHeight="1" x14ac:dyDescent="0.25">
      <c r="A186" s="228" t="s">
        <v>70</v>
      </c>
      <c r="B186" s="646" t="str">
        <f>'целевые показатели'!B148</f>
        <v>Ремонт автомобильной дороги города Орла по ул. Городская (проезжая часть), Капитальный ремонт автомобильной дороги города Орла по ул. Городская (прилегающая территория)</v>
      </c>
      <c r="C186" s="22">
        <v>56709.861400000002</v>
      </c>
      <c r="D186" s="22">
        <v>0</v>
      </c>
      <c r="E186" s="22">
        <v>0</v>
      </c>
      <c r="F186" s="22">
        <v>56142.762785999999</v>
      </c>
      <c r="G186" s="328">
        <v>567.09861400000227</v>
      </c>
      <c r="H186" s="236">
        <f>I187-C187</f>
        <v>-86344.368130000003</v>
      </c>
      <c r="I186" s="236">
        <v>59827.4755</v>
      </c>
      <c r="K186" s="237"/>
    </row>
    <row r="187" spans="1:12" ht="19.5" customHeight="1" x14ac:dyDescent="0.25">
      <c r="A187" s="228" t="s">
        <v>71</v>
      </c>
      <c r="B187" s="18" t="str">
        <f>'целевые показатели'!B155</f>
        <v>Ремонт улично-дорожной сети города Орла: ул.Бурова</v>
      </c>
      <c r="C187" s="22">
        <v>86344.368130000003</v>
      </c>
      <c r="D187" s="22">
        <v>0</v>
      </c>
      <c r="E187" s="22">
        <v>0</v>
      </c>
      <c r="F187" s="22">
        <v>85480.924448699996</v>
      </c>
      <c r="G187" s="328">
        <v>863.44368130000657</v>
      </c>
      <c r="H187" s="236">
        <f ca="1">H187*0.99</f>
        <v>0</v>
      </c>
      <c r="K187" s="237"/>
    </row>
    <row r="188" spans="1:12" ht="63.75" customHeight="1" x14ac:dyDescent="0.25">
      <c r="A188" s="228" t="s">
        <v>72</v>
      </c>
      <c r="B188" s="18" t="str">
        <f>'целевые показатели'!B156</f>
        <v>Капитальный ремонт автомобильной дороги города Орла по ул. Раздольная от Болховского шоссе до ул. Михалицына с территорией моста через р. Ока "Раздольный" и путепровода "378 км по ул. Михалицына"</v>
      </c>
      <c r="C188" s="22">
        <v>46380.588199999998</v>
      </c>
      <c r="D188" s="22">
        <v>0</v>
      </c>
      <c r="E188" s="22">
        <v>0</v>
      </c>
      <c r="F188" s="22">
        <v>45916.782317999998</v>
      </c>
      <c r="G188" s="328">
        <v>463.80588200000057</v>
      </c>
      <c r="K188" s="237"/>
    </row>
    <row r="189" spans="1:12" ht="18" customHeight="1" x14ac:dyDescent="0.25">
      <c r="A189" s="228" t="s">
        <v>495</v>
      </c>
      <c r="B189" s="18" t="s">
        <v>26</v>
      </c>
      <c r="C189" s="22">
        <v>0</v>
      </c>
      <c r="D189" s="22">
        <v>0</v>
      </c>
      <c r="E189" s="22">
        <v>0</v>
      </c>
      <c r="F189" s="22">
        <v>0</v>
      </c>
      <c r="G189" s="328">
        <v>0</v>
      </c>
      <c r="K189" s="237">
        <v>349817.2</v>
      </c>
    </row>
    <row r="190" spans="1:12" ht="33" x14ac:dyDescent="0.25">
      <c r="A190" s="228" t="s">
        <v>496</v>
      </c>
      <c r="B190" s="229" t="s">
        <v>27</v>
      </c>
      <c r="C190" s="22">
        <v>3031</v>
      </c>
      <c r="D190" s="22">
        <v>0</v>
      </c>
      <c r="E190" s="22">
        <v>0</v>
      </c>
      <c r="F190" s="22">
        <v>0</v>
      </c>
      <c r="G190" s="328">
        <v>3031</v>
      </c>
      <c r="H190" s="238" t="s">
        <v>158</v>
      </c>
      <c r="J190" s="237">
        <f>K189-K190</f>
        <v>60171.299999999988</v>
      </c>
      <c r="K190" s="237">
        <v>289645.90000000002</v>
      </c>
      <c r="L190" s="316" t="s">
        <v>683</v>
      </c>
    </row>
    <row r="191" spans="1:12" ht="49.5" x14ac:dyDescent="0.25">
      <c r="A191" s="228">
        <v>4</v>
      </c>
      <c r="B191" s="398" t="s">
        <v>13</v>
      </c>
      <c r="C191" s="313">
        <f>SUM(C192:C194)</f>
        <v>2200</v>
      </c>
      <c r="D191" s="313">
        <f>SUM(D192:D194)</f>
        <v>0</v>
      </c>
      <c r="E191" s="313">
        <f>SUM(E192:E194)</f>
        <v>0</v>
      </c>
      <c r="F191" s="313">
        <f>SUM(F192:F194)</f>
        <v>0</v>
      </c>
      <c r="G191" s="495">
        <f>SUM(G192:G194)</f>
        <v>2200</v>
      </c>
      <c r="H191" s="238">
        <f>'целевые показатели'!J170</f>
        <v>0</v>
      </c>
      <c r="J191" s="237">
        <f>K191-K190</f>
        <v>172490.8</v>
      </c>
      <c r="K191" s="237">
        <v>462136.7</v>
      </c>
      <c r="L191" s="316" t="s">
        <v>682</v>
      </c>
    </row>
    <row r="192" spans="1:12" ht="33" x14ac:dyDescent="0.25">
      <c r="A192" s="228" t="s">
        <v>384</v>
      </c>
      <c r="B192" s="229" t="str">
        <f>'целевые показатели'!B172</f>
        <v>разработка проекта организации дорожного движения по автомобильным дорогам города Орла</v>
      </c>
      <c r="C192" s="22">
        <f>'целевые показатели'!J172</f>
        <v>150</v>
      </c>
      <c r="D192" s="22">
        <v>0</v>
      </c>
      <c r="E192" s="22">
        <v>0</v>
      </c>
      <c r="F192" s="22">
        <v>0</v>
      </c>
      <c r="G192" s="328">
        <f>C192-F192</f>
        <v>150</v>
      </c>
      <c r="H192" s="238"/>
      <c r="J192" s="237"/>
      <c r="K192" s="237"/>
      <c r="L192" s="17">
        <f>290*2</f>
        <v>580</v>
      </c>
    </row>
    <row r="193" spans="1:11" ht="49.5" x14ac:dyDescent="0.25">
      <c r="A193" s="228" t="s">
        <v>423</v>
      </c>
      <c r="B193" s="229" t="str">
        <f>'целевые показатели'!B183</f>
        <v>устройство (монтаж) недостающих средств организации и регулирования дорожного движения в районе дома № 1 по ул.Металлургов</v>
      </c>
      <c r="C193" s="22">
        <f>'целевые показатели'!J173</f>
        <v>150</v>
      </c>
      <c r="D193" s="22">
        <v>0</v>
      </c>
      <c r="E193" s="22">
        <v>0</v>
      </c>
      <c r="F193" s="22">
        <v>0</v>
      </c>
      <c r="G193" s="231">
        <f>C193-F193</f>
        <v>150</v>
      </c>
      <c r="H193" s="238"/>
      <c r="K193" s="237"/>
    </row>
    <row r="194" spans="1:11" ht="18.75" customHeight="1" x14ac:dyDescent="0.25">
      <c r="A194" s="228" t="s">
        <v>424</v>
      </c>
      <c r="B194" s="229" t="str">
        <f>'целевые показатели'!B195</f>
        <v>установка дорожных знаков и нанесения дорожной разметки</v>
      </c>
      <c r="C194" s="22">
        <f>'целевые показатели'!J195</f>
        <v>1900</v>
      </c>
      <c r="D194" s="22">
        <v>0</v>
      </c>
      <c r="E194" s="22">
        <v>0</v>
      </c>
      <c r="F194" s="22">
        <v>0</v>
      </c>
      <c r="G194" s="231">
        <f>C194-F194</f>
        <v>1900</v>
      </c>
      <c r="H194" s="238"/>
      <c r="K194" s="237"/>
    </row>
    <row r="195" spans="1:11" ht="110.25" x14ac:dyDescent="0.25">
      <c r="A195" s="410">
        <v>5</v>
      </c>
      <c r="B195" s="394" t="s">
        <v>437</v>
      </c>
      <c r="C195" s="313">
        <f>'целевые показатели'!J205</f>
        <v>149100</v>
      </c>
      <c r="D195" s="313">
        <f>'целевые показатели'!J210</f>
        <v>106692.1</v>
      </c>
      <c r="E195" s="313">
        <v>0</v>
      </c>
      <c r="F195" s="313">
        <f>'целевые показатели'!J210</f>
        <v>106692.1</v>
      </c>
      <c r="G195" s="411">
        <f>'целевые показатели'!J211</f>
        <v>0</v>
      </c>
      <c r="H195" s="238"/>
      <c r="K195" s="237"/>
    </row>
    <row r="196" spans="1:11" ht="47.25" x14ac:dyDescent="0.25">
      <c r="A196" s="410">
        <v>6</v>
      </c>
      <c r="B196" s="321" t="s">
        <v>11</v>
      </c>
      <c r="C196" s="22">
        <f>'целевые показатели'!J214</f>
        <v>0</v>
      </c>
      <c r="D196" s="22">
        <f>'целевые показатели'!J229</f>
        <v>0</v>
      </c>
      <c r="E196" s="22">
        <v>0</v>
      </c>
      <c r="F196" s="22">
        <f>'целевые показатели'!J229</f>
        <v>0</v>
      </c>
      <c r="G196" s="231">
        <f>'целевые показатели'!J230</f>
        <v>0</v>
      </c>
      <c r="H196" s="238"/>
      <c r="K196" s="237"/>
    </row>
    <row r="197" spans="1:11" ht="18" customHeight="1" x14ac:dyDescent="0.25">
      <c r="A197" s="410">
        <v>7</v>
      </c>
      <c r="B197" s="398" t="s">
        <v>138</v>
      </c>
      <c r="C197" s="313">
        <f>SUM(C198)</f>
        <v>1518965.3725858587</v>
      </c>
      <c r="D197" s="313">
        <f>SUM(D198)</f>
        <v>1498901.8</v>
      </c>
      <c r="E197" s="313">
        <f>SUM(E198)</f>
        <v>0</v>
      </c>
      <c r="F197" s="313">
        <f>SUM(F198)</f>
        <v>4873.9188599999761</v>
      </c>
      <c r="G197" s="411">
        <f>SUM(G198)</f>
        <v>0</v>
      </c>
      <c r="H197" s="236">
        <f>'целевые показатели'!J233</f>
        <v>1518965.3725858587</v>
      </c>
      <c r="K197" s="237"/>
    </row>
    <row r="198" spans="1:11" ht="18" customHeight="1" x14ac:dyDescent="0.25">
      <c r="A198" s="228" t="s">
        <v>315</v>
      </c>
      <c r="B198" s="229" t="s">
        <v>76</v>
      </c>
      <c r="C198" s="22">
        <f>'целевые показатели'!J234</f>
        <v>1518965.3725858587</v>
      </c>
      <c r="D198" s="22">
        <f>'целевые показатели'!J236</f>
        <v>1498901.8</v>
      </c>
      <c r="E198" s="22">
        <v>0</v>
      </c>
      <c r="F198" s="22">
        <f>'целевые показатели'!J237</f>
        <v>4873.9188599999761</v>
      </c>
      <c r="G198" s="231">
        <f>'целевые показатели'!J239</f>
        <v>0</v>
      </c>
      <c r="K198" s="237"/>
    </row>
    <row r="199" spans="1:11" ht="51" customHeight="1" x14ac:dyDescent="0.25">
      <c r="A199" s="410">
        <v>8</v>
      </c>
      <c r="B199" s="398" t="s">
        <v>295</v>
      </c>
      <c r="C199" s="313">
        <f>SUM(C200:C214)</f>
        <v>315873.19284999982</v>
      </c>
      <c r="D199" s="313">
        <f>SUM(D200:D214)</f>
        <v>0</v>
      </c>
      <c r="E199" s="313">
        <f>SUM(E200:E214)</f>
        <v>0</v>
      </c>
      <c r="F199" s="313">
        <f>SUM(F200:F214)</f>
        <v>312714.46092150005</v>
      </c>
      <c r="G199" s="411">
        <f>SUM(G200:G214)</f>
        <v>3158.7319284999985</v>
      </c>
      <c r="H199" s="236">
        <f>'целевые показатели'!J241</f>
        <v>315873.19284999982</v>
      </c>
      <c r="I199" s="236">
        <v>377804.08205000003</v>
      </c>
      <c r="J199" s="237">
        <f>F199+F149</f>
        <v>358334.67801780009</v>
      </c>
      <c r="K199" s="237"/>
    </row>
    <row r="200" spans="1:11" ht="33" x14ac:dyDescent="0.25">
      <c r="A200" s="228" t="s">
        <v>316</v>
      </c>
      <c r="B200" s="434" t="s">
        <v>374</v>
      </c>
      <c r="C200" s="22">
        <f>'целевые показатели'!J245</f>
        <v>13327.52447</v>
      </c>
      <c r="D200" s="22">
        <v>0</v>
      </c>
      <c r="E200" s="22">
        <v>0</v>
      </c>
      <c r="F200" s="22">
        <f>C200*0.99</f>
        <v>13194.2492253</v>
      </c>
      <c r="G200" s="231">
        <f t="shared" ref="G200:G214" si="0">C200-F200</f>
        <v>133.27524470000026</v>
      </c>
      <c r="I200" s="236">
        <f>I199+K201</f>
        <v>382236.31898000004</v>
      </c>
      <c r="J200" s="237">
        <f>J199-I199</f>
        <v>-19469.404032199935</v>
      </c>
      <c r="K200" s="237">
        <f>J200/99</f>
        <v>-196.66064678989832</v>
      </c>
    </row>
    <row r="201" spans="1:11" ht="33" x14ac:dyDescent="0.25">
      <c r="A201" s="228" t="s">
        <v>318</v>
      </c>
      <c r="B201" s="434" t="s">
        <v>442</v>
      </c>
      <c r="C201" s="22">
        <f>'целевые показатели'!J246</f>
        <v>12621.01945</v>
      </c>
      <c r="D201" s="22">
        <v>0</v>
      </c>
      <c r="E201" s="22">
        <v>0</v>
      </c>
      <c r="F201" s="22">
        <f t="shared" ref="F201:F206" si="1">C201*0.99</f>
        <v>12494.8092555</v>
      </c>
      <c r="G201" s="231">
        <f t="shared" si="0"/>
        <v>126.21019449999949</v>
      </c>
      <c r="J201" s="17">
        <f>3937.007+540</f>
        <v>4477.0069999999996</v>
      </c>
      <c r="K201" s="237">
        <f>J201*0.99</f>
        <v>4432.2369299999991</v>
      </c>
    </row>
    <row r="202" spans="1:11" ht="33" x14ac:dyDescent="0.25">
      <c r="A202" s="228" t="s">
        <v>317</v>
      </c>
      <c r="B202" s="434" t="s">
        <v>299</v>
      </c>
      <c r="C202" s="22">
        <f>'целевые показатели'!J247</f>
        <v>19064.628000000001</v>
      </c>
      <c r="D202" s="22">
        <v>0</v>
      </c>
      <c r="E202" s="22">
        <v>0</v>
      </c>
      <c r="F202" s="22">
        <f t="shared" si="1"/>
        <v>18873.98172</v>
      </c>
      <c r="G202" s="231">
        <f t="shared" si="0"/>
        <v>190.64628000000084</v>
      </c>
      <c r="K202" s="237"/>
    </row>
    <row r="203" spans="1:11" ht="33" x14ac:dyDescent="0.25">
      <c r="A203" s="228" t="s">
        <v>319</v>
      </c>
      <c r="B203" s="434" t="s">
        <v>412</v>
      </c>
      <c r="C203" s="22">
        <f>'целевые показатели'!J248</f>
        <v>18412.25491</v>
      </c>
      <c r="D203" s="22">
        <v>0</v>
      </c>
      <c r="E203" s="22">
        <v>0</v>
      </c>
      <c r="F203" s="22">
        <f t="shared" si="1"/>
        <v>18228.132360899999</v>
      </c>
      <c r="G203" s="231">
        <f t="shared" si="0"/>
        <v>184.12254910000047</v>
      </c>
      <c r="K203" s="237"/>
    </row>
    <row r="204" spans="1:11" ht="33" x14ac:dyDescent="0.25">
      <c r="A204" s="228" t="s">
        <v>422</v>
      </c>
      <c r="B204" s="434" t="s">
        <v>298</v>
      </c>
      <c r="C204" s="22">
        <f>'целевые показатели'!J249</f>
        <v>19125.659759999999</v>
      </c>
      <c r="D204" s="22">
        <v>0</v>
      </c>
      <c r="E204" s="22">
        <v>0</v>
      </c>
      <c r="F204" s="22">
        <f t="shared" si="1"/>
        <v>18934.403162399998</v>
      </c>
      <c r="G204" s="231">
        <f t="shared" si="0"/>
        <v>191.25659760000053</v>
      </c>
      <c r="H204" s="236" t="s">
        <v>641</v>
      </c>
      <c r="I204" s="238"/>
      <c r="J204" s="342"/>
      <c r="K204" s="237"/>
    </row>
    <row r="205" spans="1:11" ht="49.5" x14ac:dyDescent="0.25">
      <c r="A205" s="228" t="s">
        <v>430</v>
      </c>
      <c r="B205" s="434" t="s">
        <v>432</v>
      </c>
      <c r="C205" s="22">
        <f>'целевые показатели'!J250</f>
        <v>7675.1715299999996</v>
      </c>
      <c r="D205" s="22">
        <v>0</v>
      </c>
      <c r="E205" s="22">
        <v>0</v>
      </c>
      <c r="F205" s="22">
        <f t="shared" si="1"/>
        <v>7598.4198146999997</v>
      </c>
      <c r="G205" s="231">
        <f t="shared" si="0"/>
        <v>76.751715299999887</v>
      </c>
      <c r="K205" s="237"/>
    </row>
    <row r="206" spans="1:11" s="342" customFormat="1" ht="49.5" x14ac:dyDescent="0.25">
      <c r="A206" s="228" t="s">
        <v>444</v>
      </c>
      <c r="B206" s="434" t="s">
        <v>443</v>
      </c>
      <c r="C206" s="22">
        <f>'целевые показатели'!J251</f>
        <v>194813.39166999998</v>
      </c>
      <c r="D206" s="22">
        <v>0</v>
      </c>
      <c r="E206" s="22">
        <v>0</v>
      </c>
      <c r="F206" s="22">
        <f t="shared" si="1"/>
        <v>192865.25775329999</v>
      </c>
      <c r="G206" s="231">
        <f t="shared" si="0"/>
        <v>1948.1339166999969</v>
      </c>
      <c r="H206" s="238"/>
      <c r="I206" s="236"/>
      <c r="J206" s="17"/>
      <c r="K206" s="368"/>
    </row>
    <row r="207" spans="1:11" ht="33" customHeight="1" x14ac:dyDescent="0.25">
      <c r="A207" s="228" t="s">
        <v>445</v>
      </c>
      <c r="B207" s="6" t="str">
        <f>'целевые показатели'!B257</f>
        <v>Капитальный ремонт автомобильных дорог города Орла на улицах частной жилой застройки: ул. Полевая</v>
      </c>
      <c r="C207" s="22">
        <f>'целевые показатели'!J257</f>
        <v>4158.5938800000004</v>
      </c>
      <c r="D207" s="22">
        <v>0</v>
      </c>
      <c r="E207" s="22">
        <v>0</v>
      </c>
      <c r="F207" s="22">
        <f t="shared" ref="F207:F214" si="2">C207*0.99</f>
        <v>4117.0079412000005</v>
      </c>
      <c r="G207" s="231">
        <f t="shared" si="0"/>
        <v>41.585938799999894</v>
      </c>
      <c r="H207" s="236" t="s">
        <v>641</v>
      </c>
      <c r="K207" s="237"/>
    </row>
    <row r="208" spans="1:11" ht="31.5" x14ac:dyDescent="0.25">
      <c r="A208" s="228" t="s">
        <v>446</v>
      </c>
      <c r="B208" s="6" t="str">
        <f>'целевые показатели'!B258</f>
        <v>Капитальный ремонт автомобильных дорог города Орла на улицах частной жилой застройки: ул. Высокая</v>
      </c>
      <c r="C208" s="22">
        <f>'целевые показатели'!J258</f>
        <v>4087.7678850000002</v>
      </c>
      <c r="D208" s="22">
        <v>0</v>
      </c>
      <c r="E208" s="22">
        <v>0</v>
      </c>
      <c r="F208" s="22">
        <f t="shared" si="2"/>
        <v>4046.8902061500003</v>
      </c>
      <c r="G208" s="231">
        <f t="shared" si="0"/>
        <v>40.877678849999938</v>
      </c>
      <c r="H208" s="236" t="s">
        <v>641</v>
      </c>
      <c r="K208" s="237"/>
    </row>
    <row r="209" spans="1:51" ht="31.5" x14ac:dyDescent="0.25">
      <c r="A209" s="228" t="s">
        <v>462</v>
      </c>
      <c r="B209" s="6" t="str">
        <f>'целевые показатели'!B259</f>
        <v>Капитальный ремонт автомобильных дорог города Орла на улицах частной жилой застройки: ул.Радищева</v>
      </c>
      <c r="C209" s="22">
        <f>'целевые показатели'!J259</f>
        <v>4123.1808849999998</v>
      </c>
      <c r="D209" s="22">
        <v>0</v>
      </c>
      <c r="E209" s="22">
        <v>0</v>
      </c>
      <c r="F209" s="22">
        <f t="shared" si="2"/>
        <v>4081.9490761499997</v>
      </c>
      <c r="G209" s="231">
        <f t="shared" si="0"/>
        <v>41.231808850000107</v>
      </c>
      <c r="H209" s="236" t="s">
        <v>641</v>
      </c>
      <c r="K209" s="237"/>
    </row>
    <row r="210" spans="1:51" ht="31.5" x14ac:dyDescent="0.25">
      <c r="A210" s="228" t="s">
        <v>463</v>
      </c>
      <c r="B210" s="6" t="str">
        <f>'целевые показатели'!B260</f>
        <v>Капитальный ремонт автомобильных дорог города Орла на улицах частной жилой застройки: ул.Волжская</v>
      </c>
      <c r="C210" s="22">
        <f>'целевые показатели'!J260</f>
        <v>4123.1808849999998</v>
      </c>
      <c r="D210" s="22">
        <v>0</v>
      </c>
      <c r="E210" s="22">
        <v>0</v>
      </c>
      <c r="F210" s="22">
        <f t="shared" si="2"/>
        <v>4081.9490761499997</v>
      </c>
      <c r="G210" s="231">
        <f t="shared" si="0"/>
        <v>41.231808850000107</v>
      </c>
      <c r="H210" s="236" t="s">
        <v>641</v>
      </c>
      <c r="K210" s="237"/>
    </row>
    <row r="211" spans="1:51" ht="31.5" x14ac:dyDescent="0.25">
      <c r="A211" s="228" t="s">
        <v>464</v>
      </c>
      <c r="B211" s="6" t="str">
        <f>'целевые показатели'!B261</f>
        <v>Капитальный ремонт автомобильных дорог города Орла на улицах частной жилой застройки: ул.Гвардейская</v>
      </c>
      <c r="C211" s="22">
        <f>'целевые показатели'!J261</f>
        <v>5575.8852100000004</v>
      </c>
      <c r="D211" s="22">
        <v>0</v>
      </c>
      <c r="E211" s="22">
        <v>0</v>
      </c>
      <c r="F211" s="22">
        <f t="shared" si="2"/>
        <v>5520.1263579000006</v>
      </c>
      <c r="G211" s="231">
        <f t="shared" si="0"/>
        <v>55.758852099999785</v>
      </c>
      <c r="H211" s="236" t="s">
        <v>641</v>
      </c>
      <c r="K211" s="237"/>
    </row>
    <row r="212" spans="1:51" ht="31.5" x14ac:dyDescent="0.25">
      <c r="A212" s="228" t="s">
        <v>465</v>
      </c>
      <c r="B212" s="6" t="s">
        <v>723</v>
      </c>
      <c r="C212" s="22">
        <f>'целевые показатели'!J262</f>
        <v>4288.9273149999999</v>
      </c>
      <c r="D212" s="22">
        <v>0</v>
      </c>
      <c r="E212" s="22">
        <v>0</v>
      </c>
      <c r="F212" s="22">
        <f t="shared" si="2"/>
        <v>4246.0380418499999</v>
      </c>
      <c r="G212" s="231">
        <f t="shared" si="0"/>
        <v>42.889273150000008</v>
      </c>
      <c r="H212" s="236" t="s">
        <v>641</v>
      </c>
      <c r="K212" s="237"/>
    </row>
    <row r="213" spans="1:51" ht="31.5" x14ac:dyDescent="0.25">
      <c r="A213" s="228" t="s">
        <v>466</v>
      </c>
      <c r="B213" s="6" t="str">
        <f>'целевые показатели'!B398</f>
        <v>разработка проектно-сметной документации и проведение проверки достоверности сметной стоимости</v>
      </c>
      <c r="C213" s="22">
        <f>'целевые показатели'!J398</f>
        <v>4476.0069999999996</v>
      </c>
      <c r="D213" s="22">
        <v>0</v>
      </c>
      <c r="E213" s="22">
        <v>0</v>
      </c>
      <c r="F213" s="22">
        <f t="shared" si="2"/>
        <v>4431.2469299999993</v>
      </c>
      <c r="G213" s="231">
        <f t="shared" si="0"/>
        <v>44.760070000000269</v>
      </c>
      <c r="K213" s="237"/>
    </row>
    <row r="214" spans="1:51" x14ac:dyDescent="0.25">
      <c r="A214" s="228" t="s">
        <v>638</v>
      </c>
      <c r="B214" s="6" t="str">
        <f>'целевые показатели'!B399</f>
        <v>незадействованный остаток</v>
      </c>
      <c r="C214" s="22">
        <f>'целевые показатели'!J399</f>
        <v>0</v>
      </c>
      <c r="D214" s="22">
        <v>0</v>
      </c>
      <c r="E214" s="22">
        <v>0</v>
      </c>
      <c r="F214" s="22">
        <f t="shared" si="2"/>
        <v>0</v>
      </c>
      <c r="G214" s="231">
        <f t="shared" si="0"/>
        <v>0</v>
      </c>
      <c r="K214" s="237"/>
    </row>
    <row r="215" spans="1:51" ht="18" customHeight="1" x14ac:dyDescent="0.25">
      <c r="A215" s="762" t="s">
        <v>19</v>
      </c>
      <c r="B215" s="763"/>
      <c r="C215" s="763"/>
      <c r="D215" s="763"/>
      <c r="E215" s="763"/>
      <c r="F215" s="763"/>
      <c r="G215" s="764"/>
      <c r="I215" s="245">
        <f>SUM(I216:I219)</f>
        <v>1038280.72487</v>
      </c>
      <c r="K215" s="237"/>
    </row>
    <row r="216" spans="1:51" x14ac:dyDescent="0.25">
      <c r="A216" s="410">
        <v>1</v>
      </c>
      <c r="B216" s="321" t="s">
        <v>44</v>
      </c>
      <c r="C216" s="313">
        <f>SUM(C218:C230)</f>
        <v>1165271.7019897073</v>
      </c>
      <c r="D216" s="313">
        <f>SUM(D218:D230)</f>
        <v>0</v>
      </c>
      <c r="E216" s="313">
        <f>SUM(E218:E230)</f>
        <v>0</v>
      </c>
      <c r="F216" s="313">
        <f>SUM(F218:F230)</f>
        <v>1140280.7248698103</v>
      </c>
      <c r="G216" s="411">
        <f>SUM(G218:G230)</f>
        <v>25160.97711989703</v>
      </c>
      <c r="H216" s="236">
        <f>'целевые показатели'!K26</f>
        <v>1165271.7019897073</v>
      </c>
      <c r="I216" s="348">
        <f>900000</f>
        <v>900000</v>
      </c>
      <c r="J216" s="17" t="s">
        <v>686</v>
      </c>
      <c r="K216" s="237"/>
    </row>
    <row r="217" spans="1:51" x14ac:dyDescent="0.25">
      <c r="A217" s="228" t="s">
        <v>45</v>
      </c>
      <c r="B217" s="325" t="s">
        <v>22</v>
      </c>
      <c r="C217" s="22">
        <f>SUM(C218:C223)</f>
        <v>707124.64059298998</v>
      </c>
      <c r="D217" s="22">
        <v>0</v>
      </c>
      <c r="E217" s="22">
        <v>0</v>
      </c>
      <c r="F217" s="22">
        <f t="shared" ref="F217:F223" si="3">C217*0.99</f>
        <v>700053.39418706007</v>
      </c>
      <c r="G217" s="231">
        <f>C217-F217</f>
        <v>7071.2464059299091</v>
      </c>
      <c r="H217" s="238"/>
      <c r="I217" s="348">
        <v>46435.48659</v>
      </c>
      <c r="J217" s="17" t="s">
        <v>687</v>
      </c>
      <c r="K217" s="237"/>
    </row>
    <row r="218" spans="1:51" x14ac:dyDescent="0.25">
      <c r="A218" s="240" t="s">
        <v>172</v>
      </c>
      <c r="B218" s="241" t="s">
        <v>169</v>
      </c>
      <c r="C218" s="242">
        <v>20000</v>
      </c>
      <c r="D218" s="243">
        <v>0</v>
      </c>
      <c r="E218" s="243">
        <v>0</v>
      </c>
      <c r="F218" s="243">
        <f t="shared" si="3"/>
        <v>19800</v>
      </c>
      <c r="G218" s="231">
        <f t="shared" ref="G218:G226" si="4">C218-F218</f>
        <v>200</v>
      </c>
      <c r="I218" s="348">
        <v>41845.238279999998</v>
      </c>
      <c r="J218" s="17" t="s">
        <v>687</v>
      </c>
      <c r="K218" s="237"/>
    </row>
    <row r="219" spans="1:51" ht="35.25" customHeight="1" x14ac:dyDescent="0.25">
      <c r="A219" s="240" t="s">
        <v>173</v>
      </c>
      <c r="B219" s="241" t="s">
        <v>703</v>
      </c>
      <c r="C219" s="242">
        <f>18000+35000+842.36053</f>
        <v>53842.360529999998</v>
      </c>
      <c r="D219" s="243">
        <v>0</v>
      </c>
      <c r="E219" s="243">
        <v>0</v>
      </c>
      <c r="F219" s="243">
        <f t="shared" si="3"/>
        <v>53303.9369247</v>
      </c>
      <c r="G219" s="231">
        <f t="shared" si="4"/>
        <v>538.4236052999986</v>
      </c>
      <c r="H219" s="345" t="s">
        <v>691</v>
      </c>
      <c r="I219" s="435">
        <v>50000</v>
      </c>
      <c r="J219" s="17" t="s">
        <v>696</v>
      </c>
      <c r="K219" s="237"/>
    </row>
    <row r="220" spans="1:51" ht="31.5" x14ac:dyDescent="0.25">
      <c r="A220" s="240" t="s">
        <v>174</v>
      </c>
      <c r="B220" s="241" t="s">
        <v>702</v>
      </c>
      <c r="C220" s="242">
        <v>62909.982020000003</v>
      </c>
      <c r="D220" s="243">
        <v>0</v>
      </c>
      <c r="E220" s="243">
        <v>0</v>
      </c>
      <c r="F220" s="243">
        <f t="shared" si="3"/>
        <v>62280.882199800006</v>
      </c>
      <c r="G220" s="231">
        <f t="shared" si="4"/>
        <v>629.09982019999734</v>
      </c>
      <c r="H220" s="345"/>
      <c r="I220" s="435"/>
      <c r="K220" s="237"/>
    </row>
    <row r="221" spans="1:51" ht="31.5" x14ac:dyDescent="0.25">
      <c r="A221" s="240" t="s">
        <v>175</v>
      </c>
      <c r="B221" s="241" t="s">
        <v>170</v>
      </c>
      <c r="C221" s="242">
        <v>4025.1717699999999</v>
      </c>
      <c r="D221" s="243">
        <v>0</v>
      </c>
      <c r="E221" s="243">
        <v>0</v>
      </c>
      <c r="F221" s="243">
        <f t="shared" si="3"/>
        <v>3984.9200523</v>
      </c>
      <c r="G221" s="231">
        <f t="shared" si="4"/>
        <v>40.251717699999972</v>
      </c>
      <c r="I221" s="436">
        <f>SUM(I217:I219)</f>
        <v>138280.72487000001</v>
      </c>
      <c r="K221" s="237"/>
    </row>
    <row r="222" spans="1:51" x14ac:dyDescent="0.25">
      <c r="A222" s="240" t="s">
        <v>390</v>
      </c>
      <c r="B222" s="241" t="s">
        <v>690</v>
      </c>
      <c r="C222" s="242">
        <f>2521.26266+890.69663+1466.20906+879.04481+1189.80931+2008.00235+1571.21468</f>
        <v>10526.2395</v>
      </c>
      <c r="D222" s="243">
        <v>0</v>
      </c>
      <c r="E222" s="243">
        <v>0</v>
      </c>
      <c r="F222" s="243">
        <f t="shared" si="3"/>
        <v>10420.977105</v>
      </c>
      <c r="G222" s="231">
        <f t="shared" si="4"/>
        <v>105.26239499999974</v>
      </c>
      <c r="J222" s="236"/>
      <c r="K222" s="236"/>
      <c r="L222" s="236"/>
      <c r="M222" s="236"/>
    </row>
    <row r="223" spans="1:51" x14ac:dyDescent="0.25">
      <c r="A223" s="240" t="s">
        <v>701</v>
      </c>
      <c r="B223" s="241" t="s">
        <v>171</v>
      </c>
      <c r="C223" s="242">
        <f>'целевые показатели'!K27-C218-C219-C221-C222-C220</f>
        <v>555820.88677298999</v>
      </c>
      <c r="D223" s="243">
        <v>0</v>
      </c>
      <c r="E223" s="243">
        <v>0</v>
      </c>
      <c r="F223" s="243">
        <f t="shared" si="3"/>
        <v>550262.67790526012</v>
      </c>
      <c r="G223" s="231">
        <f t="shared" si="4"/>
        <v>5558.2088677298743</v>
      </c>
      <c r="J223" s="236"/>
      <c r="K223" s="236"/>
      <c r="L223" s="236"/>
      <c r="M223" s="236"/>
    </row>
    <row r="224" spans="1:51" s="170" customFormat="1" x14ac:dyDescent="0.25">
      <c r="A224" s="215" t="s">
        <v>46</v>
      </c>
      <c r="B224" s="214" t="s">
        <v>23</v>
      </c>
      <c r="C224" s="216">
        <f>'целевые показатели'!K28</f>
        <v>198745.199995</v>
      </c>
      <c r="D224" s="172">
        <v>0</v>
      </c>
      <c r="E224" s="172">
        <v>0</v>
      </c>
      <c r="F224" s="172">
        <f t="shared" ref="F224:F233" si="5">C224*0.99</f>
        <v>196757.74799505001</v>
      </c>
      <c r="G224" s="231">
        <f t="shared" si="4"/>
        <v>1987.4519999499898</v>
      </c>
      <c r="H224" s="236"/>
      <c r="I224" s="236"/>
      <c r="J224" s="236"/>
      <c r="K224" s="236"/>
      <c r="L224" s="236"/>
      <c r="M224" s="236"/>
      <c r="N224" s="17"/>
      <c r="O224" s="17"/>
      <c r="P224" s="17"/>
      <c r="Q224" s="17"/>
      <c r="R224" s="17"/>
      <c r="S224" s="17"/>
      <c r="T224" s="17"/>
      <c r="U224" s="17"/>
      <c r="V224" s="17"/>
      <c r="W224" s="17"/>
      <c r="X224" s="17"/>
      <c r="Y224" s="17"/>
      <c r="Z224" s="17"/>
      <c r="AA224" s="17"/>
      <c r="AB224" s="17"/>
      <c r="AC224" s="17"/>
      <c r="AD224" s="17"/>
      <c r="AE224" s="17"/>
      <c r="AF224" s="17"/>
      <c r="AG224" s="17"/>
      <c r="AH224" s="17"/>
      <c r="AI224" s="17"/>
      <c r="AJ224" s="17"/>
      <c r="AK224" s="17"/>
      <c r="AL224" s="17"/>
      <c r="AM224" s="17"/>
      <c r="AN224" s="17"/>
      <c r="AO224" s="17"/>
      <c r="AP224" s="17"/>
      <c r="AQ224" s="17"/>
      <c r="AR224" s="17"/>
      <c r="AS224" s="17"/>
      <c r="AT224" s="17"/>
      <c r="AU224" s="17"/>
      <c r="AV224" s="17"/>
      <c r="AW224" s="17"/>
      <c r="AX224" s="17"/>
      <c r="AY224" s="17"/>
    </row>
    <row r="225" spans="1:51" s="170" customFormat="1" ht="16.5" x14ac:dyDescent="0.25">
      <c r="A225" s="171" t="s">
        <v>47</v>
      </c>
      <c r="B225" s="217" t="s">
        <v>186</v>
      </c>
      <c r="C225" s="172">
        <f>'целевые показатели'!K29</f>
        <v>116193.90360000001</v>
      </c>
      <c r="D225" s="172">
        <v>0</v>
      </c>
      <c r="E225" s="172">
        <v>0</v>
      </c>
      <c r="F225" s="172">
        <f t="shared" si="5"/>
        <v>115031.96456400001</v>
      </c>
      <c r="G225" s="231">
        <f t="shared" si="4"/>
        <v>1161.9390359999961</v>
      </c>
      <c r="H225" s="236"/>
      <c r="I225" s="236"/>
      <c r="J225" s="236">
        <v>12000</v>
      </c>
      <c r="K225" s="236"/>
      <c r="L225" s="236"/>
      <c r="M225" s="236"/>
      <c r="N225" s="17"/>
      <c r="O225" s="17"/>
      <c r="P225" s="17"/>
      <c r="Q225" s="17"/>
      <c r="R225" s="17"/>
      <c r="S225" s="17"/>
      <c r="T225" s="17"/>
      <c r="U225" s="17"/>
      <c r="V225" s="17"/>
      <c r="W225" s="17"/>
      <c r="X225" s="17"/>
      <c r="Y225" s="17"/>
      <c r="Z225" s="17"/>
      <c r="AA225" s="17"/>
      <c r="AB225" s="17"/>
      <c r="AC225" s="17"/>
      <c r="AD225" s="17"/>
      <c r="AE225" s="17"/>
      <c r="AF225" s="17"/>
      <c r="AG225" s="17"/>
      <c r="AH225" s="17"/>
      <c r="AI225" s="17"/>
      <c r="AJ225" s="17"/>
      <c r="AK225" s="17"/>
      <c r="AL225" s="17"/>
      <c r="AM225" s="17"/>
      <c r="AN225" s="17"/>
      <c r="AO225" s="17"/>
      <c r="AP225" s="17"/>
      <c r="AQ225" s="17"/>
      <c r="AR225" s="17"/>
      <c r="AS225" s="17"/>
      <c r="AT225" s="17"/>
      <c r="AU225" s="17"/>
      <c r="AV225" s="17"/>
      <c r="AW225" s="17"/>
      <c r="AX225" s="17"/>
      <c r="AY225" s="17"/>
    </row>
    <row r="226" spans="1:51" s="170" customFormat="1" ht="31.5" x14ac:dyDescent="0.25">
      <c r="A226" s="171" t="s">
        <v>48</v>
      </c>
      <c r="B226" s="169" t="s">
        <v>24</v>
      </c>
      <c r="C226" s="216">
        <f>22101.0101+12121.21212</f>
        <v>34222.222219999996</v>
      </c>
      <c r="D226" s="172">
        <v>0</v>
      </c>
      <c r="E226" s="172">
        <v>0</v>
      </c>
      <c r="F226" s="172">
        <f>C226*0.99</f>
        <v>33879.999997799998</v>
      </c>
      <c r="G226" s="231">
        <f t="shared" si="4"/>
        <v>342.22222219999821</v>
      </c>
      <c r="H226" s="236"/>
      <c r="I226" s="216">
        <v>22101.0101</v>
      </c>
      <c r="J226" s="236">
        <f>J225/99</f>
        <v>121.21212121212122</v>
      </c>
      <c r="K226" s="236"/>
      <c r="L226" s="236"/>
      <c r="M226" s="236"/>
      <c r="N226" s="17"/>
      <c r="O226" s="17"/>
      <c r="P226" s="17"/>
      <c r="Q226" s="17"/>
      <c r="R226" s="17"/>
      <c r="S226" s="17"/>
      <c r="T226" s="17"/>
      <c r="U226" s="17"/>
      <c r="V226" s="17"/>
      <c r="W226" s="17"/>
      <c r="X226" s="17"/>
      <c r="Y226" s="17"/>
      <c r="Z226" s="17"/>
      <c r="AA226" s="17"/>
      <c r="AB226" s="17"/>
      <c r="AC226" s="17"/>
      <c r="AD226" s="17"/>
      <c r="AE226" s="17"/>
      <c r="AF226" s="17"/>
      <c r="AG226" s="17"/>
      <c r="AH226" s="17"/>
      <c r="AI226" s="17"/>
      <c r="AJ226" s="17"/>
      <c r="AK226" s="17"/>
      <c r="AL226" s="17"/>
      <c r="AM226" s="17"/>
      <c r="AN226" s="17"/>
      <c r="AO226" s="17"/>
      <c r="AP226" s="17"/>
      <c r="AQ226" s="17"/>
      <c r="AR226" s="17"/>
      <c r="AS226" s="17"/>
      <c r="AT226" s="17"/>
      <c r="AU226" s="17"/>
      <c r="AV226" s="17"/>
      <c r="AW226" s="17"/>
      <c r="AX226" s="17"/>
      <c r="AY226" s="17"/>
    </row>
    <row r="227" spans="1:51" x14ac:dyDescent="0.25">
      <c r="A227" s="228" t="s">
        <v>49</v>
      </c>
      <c r="B227" s="18" t="str">
        <f>'целевые показатели'!B31</f>
        <v>обеспечение информационной безопасности объекта КИИ</v>
      </c>
      <c r="C227" s="22">
        <f>'целевые показатели'!K31</f>
        <v>8642.99</v>
      </c>
      <c r="D227" s="22">
        <v>0</v>
      </c>
      <c r="E227" s="22">
        <v>0</v>
      </c>
      <c r="F227" s="22">
        <v>0</v>
      </c>
      <c r="G227" s="328">
        <f>C227-F227</f>
        <v>8642.99</v>
      </c>
      <c r="H227" s="236" t="s">
        <v>676</v>
      </c>
      <c r="J227" s="236">
        <f>J225+J226</f>
        <v>12121.212121212122</v>
      </c>
      <c r="K227" s="236"/>
      <c r="L227" s="236"/>
      <c r="M227" s="236"/>
    </row>
    <row r="228" spans="1:51" ht="31.5" x14ac:dyDescent="0.25">
      <c r="A228" s="228" t="s">
        <v>155</v>
      </c>
      <c r="B228" s="344" t="s">
        <v>25</v>
      </c>
      <c r="C228" s="22">
        <f>'целевые показатели'!K32</f>
        <v>5050.5050499999998</v>
      </c>
      <c r="D228" s="22">
        <v>0</v>
      </c>
      <c r="E228" s="22">
        <v>0</v>
      </c>
      <c r="F228" s="22">
        <f t="shared" si="5"/>
        <v>4999.9999994999998</v>
      </c>
      <c r="G228" s="231">
        <f t="shared" ref="G228:G233" si="6">C228-F228</f>
        <v>50.505050499999925</v>
      </c>
      <c r="K228" s="237"/>
    </row>
    <row r="229" spans="1:51" ht="16.5" x14ac:dyDescent="0.25">
      <c r="A229" s="228" t="s">
        <v>190</v>
      </c>
      <c r="B229" s="229" t="s">
        <v>154</v>
      </c>
      <c r="C229" s="22">
        <f>'целевые показатели'!K33</f>
        <v>4830</v>
      </c>
      <c r="D229" s="22">
        <v>0</v>
      </c>
      <c r="E229" s="22">
        <v>0</v>
      </c>
      <c r="F229" s="22">
        <v>0</v>
      </c>
      <c r="G229" s="231">
        <v>5000</v>
      </c>
      <c r="K229" s="237"/>
    </row>
    <row r="230" spans="1:51" ht="16.5" x14ac:dyDescent="0.25">
      <c r="A230" s="228" t="s">
        <v>681</v>
      </c>
      <c r="B230" s="229" t="str">
        <f>'целевые показатели'!B34</f>
        <v>кредиторская задолженность предыдущих лет</v>
      </c>
      <c r="C230" s="22">
        <f>'целевые показатели'!K34</f>
        <v>90462.240531717165</v>
      </c>
      <c r="D230" s="22">
        <v>0</v>
      </c>
      <c r="E230" s="22">
        <v>0</v>
      </c>
      <c r="F230" s="22">
        <f t="shared" si="5"/>
        <v>89557.61812639999</v>
      </c>
      <c r="G230" s="231">
        <f>C230-F230</f>
        <v>904.62240531717543</v>
      </c>
      <c r="I230" s="639"/>
      <c r="K230" s="237"/>
    </row>
    <row r="231" spans="1:51" ht="49.5" x14ac:dyDescent="0.25">
      <c r="A231" s="410">
        <v>2</v>
      </c>
      <c r="B231" s="398" t="s">
        <v>15</v>
      </c>
      <c r="C231" s="641">
        <f>SUM(C232:C247)</f>
        <v>209656.98059999998</v>
      </c>
      <c r="D231" s="641">
        <f>SUM(D232:D247)</f>
        <v>0</v>
      </c>
      <c r="E231" s="641">
        <f>SUM(E232:E247)</f>
        <v>0</v>
      </c>
      <c r="F231" s="641">
        <f>SUM(F232:F247)</f>
        <v>133860.85079399997</v>
      </c>
      <c r="G231" s="642">
        <f>SUM(G232:G247)</f>
        <v>75796.129805999997</v>
      </c>
      <c r="H231" s="232">
        <v>140962.13589000001</v>
      </c>
      <c r="I231" s="498">
        <f>H231-F231</f>
        <v>7101.285096000036</v>
      </c>
      <c r="J231" s="237"/>
      <c r="K231" s="237"/>
    </row>
    <row r="232" spans="1:51" s="233" customFormat="1" ht="16.5" hidden="1" x14ac:dyDescent="0.25">
      <c r="A232" s="228"/>
      <c r="B232" s="229" t="str">
        <f>'целевые показатели'!B58</f>
        <v>проезд вдоль дома № 52 по ул. Роза Люксембург</v>
      </c>
      <c r="C232" s="230">
        <f>'целевые показатели'!K58</f>
        <v>0</v>
      </c>
      <c r="D232" s="230">
        <v>0</v>
      </c>
      <c r="E232" s="230">
        <v>0</v>
      </c>
      <c r="F232" s="22">
        <f t="shared" si="5"/>
        <v>0</v>
      </c>
      <c r="G232" s="231">
        <f t="shared" si="6"/>
        <v>0</v>
      </c>
      <c r="H232" s="232"/>
      <c r="I232" s="232"/>
      <c r="K232" s="234"/>
    </row>
    <row r="233" spans="1:51" s="233" customFormat="1" ht="16.5" hidden="1" x14ac:dyDescent="0.25">
      <c r="A233" s="228"/>
      <c r="B233" s="229" t="str">
        <f>'целевые показатели'!B59</f>
        <v>проезд по ул. Нормандия Неман д.№ 101</v>
      </c>
      <c r="C233" s="230">
        <f>'целевые показатели'!K59</f>
        <v>0</v>
      </c>
      <c r="D233" s="230">
        <v>0</v>
      </c>
      <c r="E233" s="230">
        <v>0</v>
      </c>
      <c r="F233" s="22">
        <f t="shared" si="5"/>
        <v>0</v>
      </c>
      <c r="G233" s="231">
        <f t="shared" si="6"/>
        <v>0</v>
      </c>
      <c r="H233" s="232"/>
      <c r="I233" s="232"/>
      <c r="K233" s="234"/>
    </row>
    <row r="234" spans="1:51" s="233" customFormat="1" ht="33" x14ac:dyDescent="0.25">
      <c r="A234" s="520" t="s">
        <v>159</v>
      </c>
      <c r="B234" s="521" t="s">
        <v>705</v>
      </c>
      <c r="C234" s="633">
        <v>21956.693869999999</v>
      </c>
      <c r="D234" s="230">
        <v>0</v>
      </c>
      <c r="E234" s="230">
        <v>0</v>
      </c>
      <c r="F234" s="22">
        <f>C234*0.99</f>
        <v>21737.126931299998</v>
      </c>
      <c r="G234" s="231">
        <f>C234-F234</f>
        <v>219.56693870000163</v>
      </c>
      <c r="H234" s="232"/>
      <c r="I234" s="232"/>
      <c r="J234" s="237"/>
      <c r="K234" s="234"/>
    </row>
    <row r="235" spans="1:51" s="233" customFormat="1" ht="16.5" x14ac:dyDescent="0.25">
      <c r="A235" s="524" t="s">
        <v>160</v>
      </c>
      <c r="B235" s="525" t="s">
        <v>706</v>
      </c>
      <c r="C235" s="638">
        <v>4144.8359099999998</v>
      </c>
      <c r="D235" s="230">
        <v>0</v>
      </c>
      <c r="E235" s="230">
        <v>0</v>
      </c>
      <c r="F235" s="22">
        <f t="shared" ref="F235:F246" si="7">C235*0.99</f>
        <v>4103.3875509</v>
      </c>
      <c r="G235" s="231">
        <f t="shared" ref="G235:G242" si="8">C235-F235</f>
        <v>41.448359099999834</v>
      </c>
      <c r="H235" s="526">
        <v>5471.4927100000004</v>
      </c>
      <c r="I235" s="232"/>
      <c r="K235" s="234"/>
    </row>
    <row r="236" spans="1:51" s="233" customFormat="1" ht="16.5" x14ac:dyDescent="0.25">
      <c r="A236" s="524" t="s">
        <v>161</v>
      </c>
      <c r="B236" s="525" t="s">
        <v>707</v>
      </c>
      <c r="C236" s="638">
        <v>10589.70054</v>
      </c>
      <c r="D236" s="230">
        <v>0</v>
      </c>
      <c r="E236" s="230">
        <v>0</v>
      </c>
      <c r="F236" s="22">
        <f t="shared" si="7"/>
        <v>10483.8035346</v>
      </c>
      <c r="G236" s="231">
        <f t="shared" si="8"/>
        <v>105.89700540000013</v>
      </c>
      <c r="H236" s="232"/>
      <c r="I236" s="232"/>
      <c r="K236" s="234"/>
    </row>
    <row r="237" spans="1:51" s="233" customFormat="1" ht="16.5" x14ac:dyDescent="0.25">
      <c r="A237" s="524" t="s">
        <v>162</v>
      </c>
      <c r="B237" s="525" t="s">
        <v>708</v>
      </c>
      <c r="C237" s="638">
        <f>5671.32001+600</f>
        <v>6271.3200100000004</v>
      </c>
      <c r="D237" s="230">
        <v>0</v>
      </c>
      <c r="E237" s="230">
        <v>0</v>
      </c>
      <c r="F237" s="22">
        <f t="shared" si="7"/>
        <v>6208.6068099000004</v>
      </c>
      <c r="G237" s="231">
        <f t="shared" si="8"/>
        <v>62.713200099999995</v>
      </c>
      <c r="H237" s="232"/>
      <c r="I237" s="232"/>
      <c r="K237" s="234"/>
    </row>
    <row r="238" spans="1:51" s="233" customFormat="1" ht="33" x14ac:dyDescent="0.25">
      <c r="A238" s="524" t="s">
        <v>447</v>
      </c>
      <c r="B238" s="217" t="s">
        <v>890</v>
      </c>
      <c r="C238" s="633">
        <v>43794.687839999999</v>
      </c>
      <c r="D238" s="230">
        <v>0</v>
      </c>
      <c r="E238" s="230">
        <v>0</v>
      </c>
      <c r="F238" s="22">
        <f t="shared" si="7"/>
        <v>43356.7409616</v>
      </c>
      <c r="G238" s="231">
        <f t="shared" si="8"/>
        <v>437.94687839999824</v>
      </c>
      <c r="H238" s="232"/>
      <c r="I238" s="232"/>
      <c r="K238" s="234"/>
    </row>
    <row r="239" spans="1:51" s="233" customFormat="1" ht="16.5" x14ac:dyDescent="0.25">
      <c r="A239" s="524" t="s">
        <v>163</v>
      </c>
      <c r="B239" s="217" t="s">
        <v>816</v>
      </c>
      <c r="C239" s="633">
        <v>14365.5</v>
      </c>
      <c r="D239" s="230">
        <v>0</v>
      </c>
      <c r="E239" s="230">
        <v>0</v>
      </c>
      <c r="F239" s="22">
        <f t="shared" si="7"/>
        <v>14221.844999999999</v>
      </c>
      <c r="G239" s="231">
        <f t="shared" si="8"/>
        <v>143.65500000000065</v>
      </c>
      <c r="H239" s="232"/>
      <c r="I239" s="232"/>
      <c r="K239" s="234"/>
    </row>
    <row r="240" spans="1:51" s="233" customFormat="1" ht="51.75" customHeight="1" x14ac:dyDescent="0.25">
      <c r="A240" s="524" t="s">
        <v>164</v>
      </c>
      <c r="B240" s="217" t="s">
        <v>695</v>
      </c>
      <c r="C240" s="633">
        <v>3846.40022</v>
      </c>
      <c r="D240" s="230">
        <v>0</v>
      </c>
      <c r="E240" s="230">
        <v>0</v>
      </c>
      <c r="F240" s="22">
        <f t="shared" si="7"/>
        <v>3807.9362178000001</v>
      </c>
      <c r="G240" s="231">
        <f t="shared" si="8"/>
        <v>38.464002199999868</v>
      </c>
      <c r="H240" s="232"/>
      <c r="I240" s="232"/>
      <c r="K240" s="234"/>
    </row>
    <row r="241" spans="1:11" s="233" customFormat="1" ht="33" x14ac:dyDescent="0.25">
      <c r="A241" s="524" t="s">
        <v>165</v>
      </c>
      <c r="B241" s="217" t="s">
        <v>709</v>
      </c>
      <c r="C241" s="633">
        <v>4110.3212299999996</v>
      </c>
      <c r="D241" s="230">
        <v>0</v>
      </c>
      <c r="E241" s="230">
        <v>0</v>
      </c>
      <c r="F241" s="22">
        <f t="shared" si="7"/>
        <v>4069.2180176999996</v>
      </c>
      <c r="G241" s="231">
        <f t="shared" si="8"/>
        <v>41.103212299999996</v>
      </c>
      <c r="H241" s="232"/>
      <c r="I241" s="172">
        <f>7695.2851+5148.26974</f>
        <v>12843.554840000001</v>
      </c>
      <c r="K241" s="234"/>
    </row>
    <row r="242" spans="1:11" s="233" customFormat="1" ht="33" x14ac:dyDescent="0.25">
      <c r="A242" s="524" t="s">
        <v>166</v>
      </c>
      <c r="B242" s="217" t="s">
        <v>697</v>
      </c>
      <c r="C242" s="633">
        <v>3285.8916300000001</v>
      </c>
      <c r="D242" s="230">
        <v>0</v>
      </c>
      <c r="E242" s="230">
        <v>0</v>
      </c>
      <c r="F242" s="22">
        <f t="shared" si="7"/>
        <v>3253.0327136999999</v>
      </c>
      <c r="G242" s="231">
        <f t="shared" si="8"/>
        <v>32.858916300000146</v>
      </c>
      <c r="H242" s="232"/>
      <c r="I242" s="232"/>
      <c r="K242" s="234"/>
    </row>
    <row r="243" spans="1:11" s="233" customFormat="1" ht="33" x14ac:dyDescent="0.25">
      <c r="A243" s="524" t="s">
        <v>431</v>
      </c>
      <c r="B243" s="491" t="s">
        <v>711</v>
      </c>
      <c r="C243" s="637">
        <v>22847.629349999999</v>
      </c>
      <c r="D243" s="230">
        <v>0</v>
      </c>
      <c r="E243" s="230">
        <v>0</v>
      </c>
      <c r="F243" s="22">
        <f t="shared" ref="F243" si="9">C243*0.99</f>
        <v>22619.153056499999</v>
      </c>
      <c r="G243" s="231">
        <f t="shared" ref="G243:G247" si="10">C243-F243</f>
        <v>228.47629349999988</v>
      </c>
      <c r="H243" s="232"/>
      <c r="I243" s="232"/>
      <c r="K243" s="234"/>
    </row>
    <row r="244" spans="1:11" s="233" customFormat="1" ht="21.75" customHeight="1" x14ac:dyDescent="0.25">
      <c r="A244" s="627" t="s">
        <v>456</v>
      </c>
      <c r="B244" s="628" t="s">
        <v>885</v>
      </c>
      <c r="C244" s="636">
        <v>55700</v>
      </c>
      <c r="D244" s="634">
        <v>0</v>
      </c>
      <c r="E244" s="634">
        <v>0</v>
      </c>
      <c r="F244" s="172">
        <v>0</v>
      </c>
      <c r="G244" s="635">
        <f t="shared" si="10"/>
        <v>55700</v>
      </c>
      <c r="H244" s="232"/>
      <c r="I244" s="232"/>
      <c r="K244" s="234"/>
    </row>
    <row r="245" spans="1:11" s="233" customFormat="1" ht="33" x14ac:dyDescent="0.25">
      <c r="A245" s="627" t="s">
        <v>457</v>
      </c>
      <c r="B245" s="628" t="s">
        <v>814</v>
      </c>
      <c r="C245" s="637">
        <v>15300</v>
      </c>
      <c r="D245" s="230">
        <v>0</v>
      </c>
      <c r="E245" s="230">
        <v>0</v>
      </c>
      <c r="F245" s="172">
        <v>0</v>
      </c>
      <c r="G245" s="231">
        <f>C245-F245</f>
        <v>15300</v>
      </c>
      <c r="H245" s="640">
        <f>C245*0.99</f>
        <v>15147</v>
      </c>
      <c r="I245" s="232">
        <f>I241/C245</f>
        <v>0.83944802875816993</v>
      </c>
      <c r="K245" s="234"/>
    </row>
    <row r="246" spans="1:11" s="233" customFormat="1" ht="16.5" x14ac:dyDescent="0.25">
      <c r="A246" s="522" t="s">
        <v>458</v>
      </c>
      <c r="B246" s="523" t="s">
        <v>26</v>
      </c>
      <c r="C246" s="22">
        <v>0</v>
      </c>
      <c r="D246" s="22">
        <v>0</v>
      </c>
      <c r="E246" s="22">
        <v>0</v>
      </c>
      <c r="F246" s="22">
        <f t="shared" si="7"/>
        <v>0</v>
      </c>
      <c r="G246" s="235">
        <f t="shared" si="10"/>
        <v>0</v>
      </c>
      <c r="H246" s="232"/>
      <c r="I246" s="232"/>
      <c r="K246" s="234"/>
    </row>
    <row r="247" spans="1:11" s="233" customFormat="1" ht="33.75" customHeight="1" x14ac:dyDescent="0.25">
      <c r="A247" s="228" t="s">
        <v>459</v>
      </c>
      <c r="B247" s="229" t="s">
        <v>27</v>
      </c>
      <c r="C247" s="22">
        <f>'целевые показатели'!K131</f>
        <v>3444</v>
      </c>
      <c r="D247" s="22">
        <v>0</v>
      </c>
      <c r="E247" s="22">
        <v>0</v>
      </c>
      <c r="F247" s="22">
        <v>0</v>
      </c>
      <c r="G247" s="235">
        <f t="shared" si="10"/>
        <v>3444</v>
      </c>
      <c r="H247" s="232"/>
      <c r="I247" s="232">
        <v>209942.43187</v>
      </c>
      <c r="J247" s="234">
        <f>I247-C248</f>
        <v>4594.2118896565808</v>
      </c>
      <c r="K247" s="234"/>
    </row>
    <row r="248" spans="1:11" ht="94.5" x14ac:dyDescent="0.25">
      <c r="A248" s="410">
        <v>3</v>
      </c>
      <c r="B248" s="321" t="s">
        <v>436</v>
      </c>
      <c r="C248" s="643">
        <f>SUM(C249:C257)</f>
        <v>205348.21998034342</v>
      </c>
      <c r="D248" s="643">
        <f>SUM(D249:D257)</f>
        <v>0</v>
      </c>
      <c r="E248" s="643">
        <f>SUM(E249:E257)</f>
        <v>0</v>
      </c>
      <c r="F248" s="643">
        <f>SUM(F249:F257)</f>
        <v>203068.57452804002</v>
      </c>
      <c r="G248" s="644">
        <f>SUM(G249:G257)</f>
        <v>2279.6454523034313</v>
      </c>
      <c r="H248" s="236">
        <v>207616.84427999999</v>
      </c>
      <c r="I248" s="238">
        <f>H248-F248</f>
        <v>4548.2697519599751</v>
      </c>
      <c r="J248" s="341">
        <v>215407500</v>
      </c>
      <c r="K248" s="237" t="s">
        <v>646</v>
      </c>
    </row>
    <row r="249" spans="1:11" ht="66" x14ac:dyDescent="0.25">
      <c r="A249" s="228" t="s">
        <v>68</v>
      </c>
      <c r="B249" s="275" t="str">
        <f>'целевые показатели'!B148</f>
        <v>Ремонт автомобильной дороги города Орла по ул. Городская (проезжая часть), Капитальный ремонт автомобильной дороги города Орла по ул. Городская (прилегающая территория)</v>
      </c>
      <c r="C249" s="22">
        <v>66985.179596000002</v>
      </c>
      <c r="D249" s="22">
        <v>0</v>
      </c>
      <c r="E249" s="22">
        <v>0</v>
      </c>
      <c r="F249" s="22">
        <f t="shared" ref="F249:F256" si="11">C249*0.99</f>
        <v>66315.327800040002</v>
      </c>
      <c r="G249" s="328">
        <f t="shared" ref="G249:G261" si="12">C249-F249</f>
        <v>669.85179595999944</v>
      </c>
      <c r="H249" s="236">
        <v>65008.362999999998</v>
      </c>
      <c r="I249" s="236">
        <f>I248-600</f>
        <v>3948.2697519599751</v>
      </c>
      <c r="J249" s="86">
        <f>J248-48042946.02</f>
        <v>167364553.97999999</v>
      </c>
      <c r="K249" s="237"/>
    </row>
    <row r="250" spans="1:11" ht="16.5" x14ac:dyDescent="0.25">
      <c r="A250" s="228" t="s">
        <v>69</v>
      </c>
      <c r="B250" s="217" t="s">
        <v>809</v>
      </c>
      <c r="C250" s="633">
        <f>16313.99664+6.06059</f>
        <v>16320.057229999999</v>
      </c>
      <c r="D250" s="230">
        <v>0</v>
      </c>
      <c r="E250" s="230">
        <v>0</v>
      </c>
      <c r="F250" s="22">
        <f>C250*0.99+0.00001</f>
        <v>16156.856667699998</v>
      </c>
      <c r="G250" s="231">
        <f t="shared" ref="G250:G255" si="13">C250-F250</f>
        <v>163.20056230000046</v>
      </c>
      <c r="K250" s="237"/>
    </row>
    <row r="251" spans="1:11" ht="16.5" x14ac:dyDescent="0.25">
      <c r="A251" s="228" t="s">
        <v>70</v>
      </c>
      <c r="B251" s="217" t="s">
        <v>819</v>
      </c>
      <c r="C251" s="633">
        <v>5361.1369599999998</v>
      </c>
      <c r="D251" s="230">
        <v>0</v>
      </c>
      <c r="E251" s="230">
        <v>0</v>
      </c>
      <c r="F251" s="22">
        <f>C251*0.99+0.00001</f>
        <v>5307.5256003999993</v>
      </c>
      <c r="G251" s="231">
        <f t="shared" si="13"/>
        <v>53.611359600000469</v>
      </c>
      <c r="K251" s="237"/>
    </row>
    <row r="252" spans="1:11" ht="33" x14ac:dyDescent="0.25">
      <c r="A252" s="437" t="s">
        <v>71</v>
      </c>
      <c r="B252" s="217" t="s">
        <v>810</v>
      </c>
      <c r="C252" s="633">
        <v>1933.23164</v>
      </c>
      <c r="D252" s="230">
        <v>0</v>
      </c>
      <c r="E252" s="230">
        <v>0</v>
      </c>
      <c r="F252" s="22">
        <f t="shared" si="11"/>
        <v>1913.8993235999999</v>
      </c>
      <c r="G252" s="231">
        <f t="shared" si="13"/>
        <v>19.332316400000082</v>
      </c>
      <c r="K252" s="237"/>
    </row>
    <row r="253" spans="1:11" ht="33" x14ac:dyDescent="0.25">
      <c r="A253" s="228" t="s">
        <v>72</v>
      </c>
      <c r="B253" s="217" t="s">
        <v>811</v>
      </c>
      <c r="C253" s="633">
        <v>8655.0218600000007</v>
      </c>
      <c r="D253" s="230">
        <v>0</v>
      </c>
      <c r="E253" s="230">
        <v>0</v>
      </c>
      <c r="F253" s="22">
        <f t="shared" si="11"/>
        <v>8568.4716414000013</v>
      </c>
      <c r="G253" s="231">
        <f t="shared" si="13"/>
        <v>86.550218599999425</v>
      </c>
      <c r="K253" s="237"/>
    </row>
    <row r="254" spans="1:11" ht="99" x14ac:dyDescent="0.25">
      <c r="A254" s="228" t="s">
        <v>495</v>
      </c>
      <c r="B254" s="217" t="s">
        <v>818</v>
      </c>
      <c r="C254" s="22">
        <v>102069.92543434343</v>
      </c>
      <c r="D254" s="230">
        <v>0</v>
      </c>
      <c r="E254" s="230">
        <v>0</v>
      </c>
      <c r="F254" s="22">
        <f t="shared" si="11"/>
        <v>101049.22618</v>
      </c>
      <c r="G254" s="231">
        <f t="shared" si="13"/>
        <v>1020.6992543434317</v>
      </c>
      <c r="K254" s="237" t="e">
        <f>'перечень объектов'!C373:G373+'перечень объектов'!I268</f>
        <v>#VALUE!</v>
      </c>
    </row>
    <row r="255" spans="1:11" ht="16.5" x14ac:dyDescent="0.25">
      <c r="A255" s="228" t="s">
        <v>496</v>
      </c>
      <c r="B255" s="217" t="s">
        <v>812</v>
      </c>
      <c r="C255" s="633">
        <f>3195.21951+600</f>
        <v>3795.2195099999999</v>
      </c>
      <c r="D255" s="230">
        <v>0</v>
      </c>
      <c r="E255" s="230">
        <v>0</v>
      </c>
      <c r="F255" s="22">
        <f t="shared" si="11"/>
        <v>3757.2673148999997</v>
      </c>
      <c r="G255" s="231">
        <f t="shared" si="13"/>
        <v>37.952195100000154</v>
      </c>
      <c r="K255" s="237"/>
    </row>
    <row r="256" spans="1:11" ht="16.5" x14ac:dyDescent="0.25">
      <c r="A256" s="228" t="s">
        <v>805</v>
      </c>
      <c r="B256" s="275" t="s">
        <v>26</v>
      </c>
      <c r="C256" s="22">
        <v>0</v>
      </c>
      <c r="D256" s="22">
        <v>0</v>
      </c>
      <c r="E256" s="22">
        <v>0</v>
      </c>
      <c r="F256" s="22">
        <f t="shared" si="11"/>
        <v>0</v>
      </c>
      <c r="G256" s="328">
        <f t="shared" si="12"/>
        <v>0</v>
      </c>
      <c r="I256" s="438"/>
      <c r="J256" s="401"/>
      <c r="K256" s="237"/>
    </row>
    <row r="257" spans="1:15" ht="33" x14ac:dyDescent="0.25">
      <c r="A257" s="228" t="s">
        <v>820</v>
      </c>
      <c r="B257" s="229" t="s">
        <v>27</v>
      </c>
      <c r="C257" s="22">
        <v>228.44775000000001</v>
      </c>
      <c r="D257" s="22">
        <v>0</v>
      </c>
      <c r="E257" s="22">
        <v>0</v>
      </c>
      <c r="F257" s="22">
        <v>0</v>
      </c>
      <c r="G257" s="328">
        <f>C257-F257</f>
        <v>228.44775000000001</v>
      </c>
      <c r="H257" s="238" t="s">
        <v>158</v>
      </c>
      <c r="K257" s="237"/>
    </row>
    <row r="258" spans="1:15" s="401" customFormat="1" ht="49.5" x14ac:dyDescent="0.25">
      <c r="A258" s="439">
        <v>4</v>
      </c>
      <c r="B258" s="398" t="s">
        <v>13</v>
      </c>
      <c r="C258" s="313">
        <f>SUM(C259:C261)</f>
        <v>1300</v>
      </c>
      <c r="D258" s="313">
        <f>SUM(D259:D261)</f>
        <v>0</v>
      </c>
      <c r="E258" s="313">
        <f>SUM(E259:E261)</f>
        <v>0</v>
      </c>
      <c r="F258" s="313">
        <f>SUM(F259:F261)</f>
        <v>0</v>
      </c>
      <c r="G258" s="495">
        <f>SUM(G259:G261)</f>
        <v>1300</v>
      </c>
      <c r="H258" s="440">
        <f>'целевые показатели'!K169</f>
        <v>1300</v>
      </c>
      <c r="I258" s="236"/>
      <c r="J258" s="17">
        <v>10463.497370000001</v>
      </c>
      <c r="K258" s="441"/>
    </row>
    <row r="259" spans="1:15" ht="33" x14ac:dyDescent="0.25">
      <c r="A259" s="228" t="s">
        <v>384</v>
      </c>
      <c r="B259" s="229" t="s">
        <v>146</v>
      </c>
      <c r="C259" s="22">
        <f>'целевые показатели'!K172</f>
        <v>451</v>
      </c>
      <c r="D259" s="22">
        <v>0</v>
      </c>
      <c r="E259" s="22">
        <v>0</v>
      </c>
      <c r="F259" s="22">
        <v>0</v>
      </c>
      <c r="G259" s="328">
        <f t="shared" si="12"/>
        <v>451</v>
      </c>
      <c r="H259" s="238" t="s">
        <v>158</v>
      </c>
      <c r="K259" s="237"/>
    </row>
    <row r="260" spans="1:15" ht="33" x14ac:dyDescent="0.25">
      <c r="A260" s="228" t="s">
        <v>423</v>
      </c>
      <c r="B260" s="229" t="s">
        <v>147</v>
      </c>
      <c r="C260" s="22">
        <f>'целевые показатели'!K173</f>
        <v>0</v>
      </c>
      <c r="D260" s="22">
        <v>0</v>
      </c>
      <c r="E260" s="22">
        <v>0</v>
      </c>
      <c r="F260" s="22">
        <v>0</v>
      </c>
      <c r="G260" s="328">
        <f t="shared" si="12"/>
        <v>0</v>
      </c>
      <c r="H260" s="238" t="s">
        <v>158</v>
      </c>
      <c r="K260" s="237"/>
    </row>
    <row r="261" spans="1:15" ht="16.5" x14ac:dyDescent="0.25">
      <c r="A261" s="228" t="s">
        <v>424</v>
      </c>
      <c r="B261" s="229" t="s">
        <v>322</v>
      </c>
      <c r="C261" s="22">
        <f>'целевые показатели'!K195</f>
        <v>849</v>
      </c>
      <c r="D261" s="22">
        <v>0</v>
      </c>
      <c r="E261" s="22">
        <v>0</v>
      </c>
      <c r="F261" s="22">
        <v>0</v>
      </c>
      <c r="G261" s="328">
        <f t="shared" si="12"/>
        <v>849</v>
      </c>
      <c r="H261" s="238" t="s">
        <v>158</v>
      </c>
      <c r="K261" s="237"/>
    </row>
    <row r="262" spans="1:15" ht="110.25" x14ac:dyDescent="0.25">
      <c r="A262" s="410">
        <v>5</v>
      </c>
      <c r="B262" s="394" t="s">
        <v>437</v>
      </c>
      <c r="C262" s="313">
        <f>SUM(D262:G262)</f>
        <v>27015.85859</v>
      </c>
      <c r="D262" s="313">
        <f>'целевые показатели'!K209</f>
        <v>26478.2</v>
      </c>
      <c r="E262" s="313">
        <v>0</v>
      </c>
      <c r="F262" s="313">
        <f>'целевые показатели'!K210</f>
        <v>267.5</v>
      </c>
      <c r="G262" s="495">
        <f>'целевые показатели'!K211</f>
        <v>270.15859</v>
      </c>
      <c r="H262" s="238">
        <f>'целевые показатели'!K206</f>
        <v>27015.85859</v>
      </c>
      <c r="I262" s="236">
        <v>54879.18778</v>
      </c>
      <c r="K262" s="237"/>
    </row>
    <row r="263" spans="1:15" ht="60" customHeight="1" x14ac:dyDescent="0.25">
      <c r="A263" s="410">
        <v>6</v>
      </c>
      <c r="B263" s="394" t="s">
        <v>11</v>
      </c>
      <c r="C263" s="313">
        <f>SUM(C264)</f>
        <v>600</v>
      </c>
      <c r="D263" s="313">
        <f>SUM(D264)</f>
        <v>0</v>
      </c>
      <c r="E263" s="313">
        <f>SUM(E264)</f>
        <v>0</v>
      </c>
      <c r="F263" s="313">
        <f>SUM(F264)</f>
        <v>0</v>
      </c>
      <c r="G263" s="411">
        <f>SUM(G264)</f>
        <v>600</v>
      </c>
      <c r="H263" s="238"/>
      <c r="K263" s="237"/>
    </row>
    <row r="264" spans="1:15" ht="66" x14ac:dyDescent="0.25">
      <c r="A264" s="442" t="s">
        <v>188</v>
      </c>
      <c r="B264" s="631" t="s">
        <v>296</v>
      </c>
      <c r="C264" s="22">
        <f>D264+E264+F264+G264</f>
        <v>600</v>
      </c>
      <c r="D264" s="22">
        <v>0</v>
      </c>
      <c r="E264" s="22">
        <v>0</v>
      </c>
      <c r="F264" s="22">
        <v>0</v>
      </c>
      <c r="G264" s="239">
        <v>600</v>
      </c>
      <c r="H264" s="238" t="s">
        <v>676</v>
      </c>
      <c r="K264" s="237"/>
    </row>
    <row r="265" spans="1:15" x14ac:dyDescent="0.25">
      <c r="A265" s="410">
        <v>7</v>
      </c>
      <c r="B265" s="394" t="str">
        <f>'целевые показатели'!B233</f>
        <v>Строительство объектов УДС города Орла</v>
      </c>
      <c r="C265" s="313">
        <f>SUM(C266)</f>
        <v>170.17606000000001</v>
      </c>
      <c r="D265" s="313">
        <f>SUM(D266)</f>
        <v>0</v>
      </c>
      <c r="E265" s="313">
        <f>SUM(E266)</f>
        <v>0</v>
      </c>
      <c r="F265" s="313">
        <f>SUM(F266)</f>
        <v>0</v>
      </c>
      <c r="G265" s="411">
        <f>SUM(G266)</f>
        <v>170.17606000000001</v>
      </c>
      <c r="H265" s="238"/>
      <c r="K265" s="237"/>
    </row>
    <row r="266" spans="1:15" s="443" customFormat="1" x14ac:dyDescent="0.25">
      <c r="A266" s="442" t="s">
        <v>315</v>
      </c>
      <c r="B266" s="344" t="str">
        <f>'целевые показатели'!B234</f>
        <v>Реконструкция "Красного моста" в г.Орле</v>
      </c>
      <c r="C266" s="22">
        <f>'целевые показатели'!K234</f>
        <v>170.17606000000001</v>
      </c>
      <c r="D266" s="22">
        <v>0</v>
      </c>
      <c r="E266" s="22">
        <v>0</v>
      </c>
      <c r="F266" s="22">
        <v>0</v>
      </c>
      <c r="G266" s="239">
        <v>170.17606000000001</v>
      </c>
      <c r="H266" s="238" t="s">
        <v>676</v>
      </c>
      <c r="I266" s="232"/>
      <c r="K266" s="444"/>
    </row>
    <row r="267" spans="1:15" ht="33" x14ac:dyDescent="0.25">
      <c r="A267" s="410">
        <v>8</v>
      </c>
      <c r="B267" s="398" t="s">
        <v>295</v>
      </c>
      <c r="C267" s="643">
        <f>SUM(C268:C332)</f>
        <v>404023.12142178055</v>
      </c>
      <c r="D267" s="643">
        <f>SUM(D268:D332)</f>
        <v>0</v>
      </c>
      <c r="E267" s="643">
        <f>SUM(E268:E332)</f>
        <v>0</v>
      </c>
      <c r="F267" s="643">
        <f>SUM(F268:F332)-0.00001</f>
        <v>362170.07927236235</v>
      </c>
      <c r="G267" s="644">
        <f>SUM(G268:G332)</f>
        <v>41853.042139417819</v>
      </c>
      <c r="H267" s="238">
        <v>496030.93007</v>
      </c>
      <c r="I267" s="236">
        <f>F267+F231</f>
        <v>496030.93006636231</v>
      </c>
      <c r="J267" s="236">
        <v>6791.2045221171602</v>
      </c>
      <c r="K267" s="237"/>
      <c r="N267" s="17">
        <v>300</v>
      </c>
      <c r="O267" s="17">
        <v>300</v>
      </c>
    </row>
    <row r="268" spans="1:15" s="247" customFormat="1" ht="99.75" customHeight="1" x14ac:dyDescent="0.25">
      <c r="A268" s="645" t="s">
        <v>738</v>
      </c>
      <c r="B268" s="491" t="str">
        <f>'целевые показатели'!B253</f>
        <v>Выполнение работ по разработке проектно-сметной документации, получение положительного заключения государственной экспертизы и выполнение работ по капитальному ремонту по ул. Михалицына (прилегающая территория) с примыканием ул. Космонавтов на участке от 
ул. Михалицына до дома № 15 по пер. Межевой</v>
      </c>
      <c r="C268" s="632">
        <f>58829.6279730303+11049.50411-21925.42808</f>
        <v>47953.704003030303</v>
      </c>
      <c r="D268" s="22">
        <v>0</v>
      </c>
      <c r="E268" s="22">
        <v>0</v>
      </c>
      <c r="F268" s="22">
        <f t="shared" ref="F268:F331" si="14">C268*0.99</f>
        <v>47474.166963000003</v>
      </c>
      <c r="G268" s="231">
        <f t="shared" ref="G268:G332" si="15">C268-F268</f>
        <v>479.53704003029998</v>
      </c>
      <c r="H268" s="232"/>
      <c r="I268" s="22"/>
      <c r="J268" s="246"/>
      <c r="K268" s="246"/>
      <c r="L268" s="487">
        <v>480431887.72000003</v>
      </c>
      <c r="M268" s="447"/>
    </row>
    <row r="269" spans="1:15" s="247" customFormat="1" ht="82.5" x14ac:dyDescent="0.25">
      <c r="A269" s="645" t="s">
        <v>739</v>
      </c>
      <c r="B269" s="628" t="s">
        <v>815</v>
      </c>
      <c r="C269" s="636">
        <f>69440/2</f>
        <v>34720</v>
      </c>
      <c r="D269" s="634">
        <v>0</v>
      </c>
      <c r="E269" s="634">
        <v>0</v>
      </c>
      <c r="F269" s="172">
        <v>0</v>
      </c>
      <c r="G269" s="635">
        <f t="shared" si="15"/>
        <v>34720</v>
      </c>
      <c r="H269" s="232"/>
      <c r="I269" s="630"/>
      <c r="J269" s="246"/>
      <c r="K269" s="246"/>
      <c r="L269" s="487"/>
      <c r="M269" s="447"/>
    </row>
    <row r="270" spans="1:15" s="247" customFormat="1" ht="33" x14ac:dyDescent="0.25">
      <c r="A270" s="645" t="s">
        <v>740</v>
      </c>
      <c r="B270" s="500" t="str">
        <f>'целевые показатели'!B257</f>
        <v>Капитальный ремонт автомобильных дорог города Орла на улицах частной жилой застройки: ул. Полевая</v>
      </c>
      <c r="C270" s="501">
        <f>8317.18777/2</f>
        <v>4158.5938850000002</v>
      </c>
      <c r="D270" s="501">
        <v>0</v>
      </c>
      <c r="E270" s="501">
        <v>0</v>
      </c>
      <c r="F270" s="501">
        <f t="shared" si="14"/>
        <v>4117.00794615</v>
      </c>
      <c r="G270" s="502">
        <f t="shared" si="15"/>
        <v>41.585938850000275</v>
      </c>
      <c r="H270" s="232"/>
      <c r="I270" s="232"/>
      <c r="J270" s="246"/>
      <c r="K270" s="246"/>
      <c r="L270" s="487">
        <f>[1]Лист3!$F19</f>
        <v>25000000</v>
      </c>
      <c r="M270" s="447"/>
    </row>
    <row r="271" spans="1:15" s="247" customFormat="1" ht="33" x14ac:dyDescent="0.25">
      <c r="A271" s="645" t="s">
        <v>741</v>
      </c>
      <c r="B271" s="491" t="str">
        <f>'целевые показатели'!B258</f>
        <v>Капитальный ремонт автомобильных дорог города Орла на улицах частной жилой застройки: ул. Высокая</v>
      </c>
      <c r="C271" s="22">
        <f>8175.53577/2</f>
        <v>4087.7678850000002</v>
      </c>
      <c r="D271" s="22">
        <v>0</v>
      </c>
      <c r="E271" s="22">
        <v>0</v>
      </c>
      <c r="F271" s="22">
        <f t="shared" si="14"/>
        <v>4046.8902061500003</v>
      </c>
      <c r="G271" s="231">
        <f t="shared" si="15"/>
        <v>40.877678849999938</v>
      </c>
      <c r="H271" s="232"/>
      <c r="I271" s="232"/>
      <c r="J271" s="246"/>
      <c r="K271" s="246"/>
      <c r="L271" s="487">
        <f>[1]Лист3!$F20</f>
        <v>54869187.780000001</v>
      </c>
      <c r="M271" s="447"/>
    </row>
    <row r="272" spans="1:15" s="247" customFormat="1" ht="33" x14ac:dyDescent="0.25">
      <c r="A272" s="645" t="s">
        <v>742</v>
      </c>
      <c r="B272" s="491" t="str">
        <f>'целевые показатели'!B259</f>
        <v>Капитальный ремонт автомобильных дорог города Орла на улицах частной жилой застройки: ул.Радищева</v>
      </c>
      <c r="C272" s="22">
        <f>8246.36177/2</f>
        <v>4123.1808849999998</v>
      </c>
      <c r="D272" s="22">
        <v>0</v>
      </c>
      <c r="E272" s="22">
        <v>0</v>
      </c>
      <c r="F272" s="22">
        <f t="shared" si="14"/>
        <v>4081.9490761499997</v>
      </c>
      <c r="G272" s="231">
        <f t="shared" si="15"/>
        <v>41.231808850000107</v>
      </c>
      <c r="H272" s="232"/>
      <c r="I272" s="232"/>
      <c r="J272" s="246"/>
      <c r="K272" s="246"/>
      <c r="L272" s="487">
        <v>48042946.020000003</v>
      </c>
      <c r="M272" s="447"/>
    </row>
    <row r="273" spans="1:13" s="247" customFormat="1" ht="33" x14ac:dyDescent="0.25">
      <c r="A273" s="645" t="s">
        <v>743</v>
      </c>
      <c r="B273" s="491" t="str">
        <f>'целевые показатели'!B260</f>
        <v>Капитальный ремонт автомобильных дорог города Орла на улицах частной жилой застройки: ул.Волжская</v>
      </c>
      <c r="C273" s="22">
        <f>8246.36177/2</f>
        <v>4123.1808849999998</v>
      </c>
      <c r="D273" s="22">
        <v>0</v>
      </c>
      <c r="E273" s="22">
        <v>0</v>
      </c>
      <c r="F273" s="22">
        <f t="shared" si="14"/>
        <v>4081.9490761499997</v>
      </c>
      <c r="G273" s="231">
        <f t="shared" si="15"/>
        <v>41.231808850000107</v>
      </c>
      <c r="H273" s="232"/>
      <c r="I273" s="232"/>
      <c r="K273" s="246"/>
      <c r="L273" s="487">
        <f>[1]Лист3!$F22</f>
        <v>22619153.066399999</v>
      </c>
    </row>
    <row r="274" spans="1:13" s="247" customFormat="1" ht="33" x14ac:dyDescent="0.25">
      <c r="A274" s="645" t="s">
        <v>744</v>
      </c>
      <c r="B274" s="491" t="str">
        <f>'целевые показатели'!B261</f>
        <v>Капитальный ремонт автомобильных дорог города Орла на улицах частной жилой застройки: ул.Гвардейская</v>
      </c>
      <c r="C274" s="22">
        <f>11151.77043/2-0.00001</f>
        <v>5575.8852050000005</v>
      </c>
      <c r="D274" s="22">
        <v>0</v>
      </c>
      <c r="E274" s="22">
        <v>0</v>
      </c>
      <c r="F274" s="22">
        <f>C274*0.99+0.00001</f>
        <v>5520.1263629499999</v>
      </c>
      <c r="G274" s="231">
        <f>C274-F274+0.00001</f>
        <v>55.75885205000057</v>
      </c>
      <c r="H274" s="232"/>
      <c r="I274" s="232"/>
      <c r="K274" s="246"/>
      <c r="L274" s="487">
        <f>[1]Лист3!$F23</f>
        <v>7503280.7401999999</v>
      </c>
    </row>
    <row r="275" spans="1:13" s="247" customFormat="1" ht="49.5" x14ac:dyDescent="0.25">
      <c r="A275" s="645" t="s">
        <v>745</v>
      </c>
      <c r="B275" s="491" t="str">
        <f>'целевые показатели'!B262</f>
        <v>Капитальный ремонт автомобильных дорог города Орла на улицах частной жилой застройки: пер.Южный от ул. Тульской до ул. Ольховецкой</v>
      </c>
      <c r="C275" s="22">
        <f>6362.39023/2+1107.7322-0.00001</f>
        <v>4288.9273050000002</v>
      </c>
      <c r="D275" s="22">
        <v>0</v>
      </c>
      <c r="E275" s="22">
        <v>0</v>
      </c>
      <c r="F275" s="22">
        <f t="shared" si="14"/>
        <v>4246.03803195</v>
      </c>
      <c r="G275" s="231">
        <f>C275-F275+0.00001</f>
        <v>42.889283050000159</v>
      </c>
      <c r="H275" s="232"/>
      <c r="I275" s="232"/>
      <c r="K275" s="246"/>
      <c r="L275" s="486">
        <f>SUM(L270:L274)</f>
        <v>158034567.60660002</v>
      </c>
    </row>
    <row r="276" spans="1:13" ht="33" x14ac:dyDescent="0.25">
      <c r="A276" s="645" t="s">
        <v>746</v>
      </c>
      <c r="B276" s="491" t="str">
        <f>'целевые показатели'!B263</f>
        <v>Капитальный ремонт автомобильных дорог города Орла на улицах частной жилой застройки: ул.Елецкая</v>
      </c>
      <c r="C276" s="22">
        <f>'целевые показатели'!K263</f>
        <v>15783.4701</v>
      </c>
      <c r="D276" s="22">
        <v>0</v>
      </c>
      <c r="E276" s="22">
        <v>0</v>
      </c>
      <c r="F276" s="22">
        <f t="shared" si="14"/>
        <v>15625.635399000001</v>
      </c>
      <c r="G276" s="231">
        <f t="shared" si="15"/>
        <v>157.83470099999977</v>
      </c>
      <c r="H276" s="236" t="s">
        <v>641</v>
      </c>
      <c r="I276" s="238"/>
      <c r="J276" s="342"/>
      <c r="K276" s="237">
        <v>349817.2</v>
      </c>
      <c r="M276" s="349"/>
    </row>
    <row r="277" spans="1:13" ht="33" x14ac:dyDescent="0.25">
      <c r="A277" s="645" t="s">
        <v>747</v>
      </c>
      <c r="B277" s="491" t="str">
        <f>'целевые показатели'!B264</f>
        <v>Капитальный ремонт автомобильных дорог города Орла на улицах частной жилой застройки: ул.Серпуховская</v>
      </c>
      <c r="C277" s="22">
        <f>'целевые показатели'!K264</f>
        <v>14205.123089999997</v>
      </c>
      <c r="D277" s="22">
        <v>0</v>
      </c>
      <c r="E277" s="22">
        <v>0</v>
      </c>
      <c r="F277" s="22">
        <f t="shared" si="14"/>
        <v>14063.071859099997</v>
      </c>
      <c r="G277" s="231">
        <f t="shared" si="15"/>
        <v>142.05123090000052</v>
      </c>
      <c r="H277" s="236" t="s">
        <v>641</v>
      </c>
      <c r="J277" s="237"/>
      <c r="K277" s="237">
        <v>289745.90000000002</v>
      </c>
      <c r="L277" s="237">
        <f>K276-K277</f>
        <v>60071.299999999988</v>
      </c>
      <c r="M277" s="17" t="s">
        <v>642</v>
      </c>
    </row>
    <row r="278" spans="1:13" ht="49.5" x14ac:dyDescent="0.25">
      <c r="A278" s="645" t="s">
        <v>748</v>
      </c>
      <c r="B278" s="491" t="str">
        <f>'целевые показатели'!B265</f>
        <v>Капитальный ремонт автомобильных дорог города Орла на улицах частной жилой застройки: пер.Приокский-ул.Отрадная</v>
      </c>
      <c r="C278" s="22">
        <f>'целевые показатели'!K265</f>
        <v>5800.4252617499997</v>
      </c>
      <c r="D278" s="22">
        <v>0</v>
      </c>
      <c r="E278" s="22">
        <v>0</v>
      </c>
      <c r="F278" s="22">
        <f t="shared" si="14"/>
        <v>5742.4210091324994</v>
      </c>
      <c r="G278" s="231">
        <f t="shared" si="15"/>
        <v>58.004252617500242</v>
      </c>
      <c r="H278" s="236" t="s">
        <v>685</v>
      </c>
      <c r="J278" s="237"/>
      <c r="K278" s="237"/>
      <c r="L278" s="17" t="s">
        <v>643</v>
      </c>
    </row>
    <row r="279" spans="1:13" ht="33" x14ac:dyDescent="0.25">
      <c r="A279" s="645" t="s">
        <v>749</v>
      </c>
      <c r="B279" s="491" t="str">
        <f>'целевые показатели'!B266</f>
        <v>Капитальный ремонт автомобильных дорог города Орла на улицах частной жилой застройки: ул.Приокская</v>
      </c>
      <c r="C279" s="22">
        <f>'целевые показатели'!K266</f>
        <v>2635.8395066999997</v>
      </c>
      <c r="D279" s="22">
        <v>0</v>
      </c>
      <c r="E279" s="22">
        <v>0</v>
      </c>
      <c r="F279" s="22">
        <f t="shared" si="14"/>
        <v>2609.4811116329997</v>
      </c>
      <c r="G279" s="231">
        <f t="shared" si="15"/>
        <v>26.358395066999947</v>
      </c>
      <c r="H279" s="236" t="s">
        <v>685</v>
      </c>
      <c r="J279" s="81"/>
      <c r="K279" s="435">
        <v>14314.78772</v>
      </c>
      <c r="L279" s="17" t="s">
        <v>645</v>
      </c>
    </row>
    <row r="280" spans="1:13" ht="33" x14ac:dyDescent="0.25">
      <c r="A280" s="645" t="s">
        <v>750</v>
      </c>
      <c r="B280" s="491" t="str">
        <f>'целевые показатели'!B267</f>
        <v>Капитальный ремонт автомобильных дорог города Орла на улицах частной жилой застройки: ул.Скульптурная</v>
      </c>
      <c r="C280" s="22">
        <f>'целевые показатели'!K267</f>
        <v>8680.908555</v>
      </c>
      <c r="D280" s="22">
        <v>0</v>
      </c>
      <c r="E280" s="22">
        <v>0</v>
      </c>
      <c r="F280" s="22">
        <f t="shared" si="14"/>
        <v>8594.0994694500005</v>
      </c>
      <c r="G280" s="231">
        <f t="shared" si="15"/>
        <v>86.809085549999509</v>
      </c>
      <c r="H280" s="236" t="s">
        <v>685</v>
      </c>
      <c r="K280" s="237">
        <v>324970</v>
      </c>
      <c r="L280" s="445">
        <f>SUM(J279:K279)</f>
        <v>14314.78772</v>
      </c>
      <c r="M280" s="17" t="s">
        <v>646</v>
      </c>
    </row>
    <row r="281" spans="1:13" ht="33" x14ac:dyDescent="0.25">
      <c r="A281" s="645" t="s">
        <v>751</v>
      </c>
      <c r="B281" s="491" t="str">
        <f>'целевые показатели'!B268</f>
        <v>Капитальный ремонт автомобильных дорог города Орла на улицах частной жилой застройки: ул.Менделеева</v>
      </c>
      <c r="C281" s="22">
        <f>'целевые показатели'!K268</f>
        <v>7086.7780749000003</v>
      </c>
      <c r="D281" s="22">
        <v>0</v>
      </c>
      <c r="E281" s="22">
        <v>0</v>
      </c>
      <c r="F281" s="22">
        <f t="shared" si="14"/>
        <v>7015.910294151</v>
      </c>
      <c r="G281" s="231">
        <f t="shared" si="15"/>
        <v>70.867780749000303</v>
      </c>
      <c r="H281" s="236" t="s">
        <v>685</v>
      </c>
      <c r="J281" s="237">
        <f>F231+F267</f>
        <v>496030.93006636231</v>
      </c>
      <c r="K281" s="237" t="e">
        <f>J281+#REF!</f>
        <v>#REF!</v>
      </c>
      <c r="L281" s="237"/>
    </row>
    <row r="282" spans="1:13" ht="33" x14ac:dyDescent="0.25">
      <c r="A282" s="645" t="s">
        <v>752</v>
      </c>
      <c r="B282" s="491" t="str">
        <f>'целевые показатели'!B269</f>
        <v>Капитальный ремонт автомобильных дорог города Орла на улицах частной жилой застройки: ул.Яблочная</v>
      </c>
      <c r="C282" s="22">
        <f>'целевые показатели'!K269</f>
        <v>12626.77608</v>
      </c>
      <c r="D282" s="22">
        <v>0</v>
      </c>
      <c r="E282" s="22">
        <v>0</v>
      </c>
      <c r="F282" s="22">
        <f t="shared" si="14"/>
        <v>12500.5083192</v>
      </c>
      <c r="G282" s="231">
        <f t="shared" si="15"/>
        <v>126.26776079999945</v>
      </c>
      <c r="H282" s="236" t="s">
        <v>685</v>
      </c>
      <c r="K282" s="237"/>
    </row>
    <row r="283" spans="1:13" ht="33" x14ac:dyDescent="0.25">
      <c r="A283" s="645" t="s">
        <v>753</v>
      </c>
      <c r="B283" s="491" t="str">
        <f>'целевые показатели'!B270</f>
        <v>Капитальный ремонт автомобильных дорог города Орла на улицах частной жилой застройки: пер.Половецкий</v>
      </c>
      <c r="C283" s="22">
        <f>'целевые показатели'!K270</f>
        <v>9470.0820600000006</v>
      </c>
      <c r="D283" s="22">
        <v>0</v>
      </c>
      <c r="E283" s="22">
        <v>0</v>
      </c>
      <c r="F283" s="22">
        <f t="shared" si="14"/>
        <v>9375.3812393999997</v>
      </c>
      <c r="G283" s="231">
        <f t="shared" si="15"/>
        <v>94.700820600000952</v>
      </c>
      <c r="H283" s="236" t="s">
        <v>685</v>
      </c>
      <c r="K283" s="237"/>
    </row>
    <row r="284" spans="1:13" ht="33" x14ac:dyDescent="0.25">
      <c r="A284" s="645" t="s">
        <v>754</v>
      </c>
      <c r="B284" s="491" t="str">
        <f>'целевые показатели'!B271</f>
        <v>Капитальный ремонт автомобильных дорог города Орла на улицах частной жилой застройки: ул. Полигонная</v>
      </c>
      <c r="C284" s="22">
        <f>'целевые показатели'!K271</f>
        <v>3259.28657565</v>
      </c>
      <c r="D284" s="22">
        <v>0</v>
      </c>
      <c r="E284" s="22">
        <v>0</v>
      </c>
      <c r="F284" s="22">
        <f t="shared" si="14"/>
        <v>3226.6937098935</v>
      </c>
      <c r="G284" s="231">
        <f t="shared" si="15"/>
        <v>32.592865756500032</v>
      </c>
      <c r="H284" s="236" t="s">
        <v>685</v>
      </c>
      <c r="K284" s="237"/>
    </row>
    <row r="285" spans="1:13" ht="33" x14ac:dyDescent="0.25">
      <c r="A285" s="645" t="s">
        <v>755</v>
      </c>
      <c r="B285" s="491" t="str">
        <f>'целевые показатели'!B272</f>
        <v>Капитальный ремонт автомобильных дорог города Орла на улицах частной жилой застройки: ул. Ново-Лужковская</v>
      </c>
      <c r="C285" s="22">
        <f>'целевые показатели'!K272</f>
        <v>3874.8419095499994</v>
      </c>
      <c r="D285" s="22">
        <v>0</v>
      </c>
      <c r="E285" s="22">
        <v>0</v>
      </c>
      <c r="F285" s="22">
        <f t="shared" si="14"/>
        <v>3836.0934904544993</v>
      </c>
      <c r="G285" s="231">
        <f t="shared" si="15"/>
        <v>38.74841909550014</v>
      </c>
      <c r="H285" s="236" t="s">
        <v>685</v>
      </c>
      <c r="I285" s="498"/>
      <c r="K285" s="237"/>
    </row>
    <row r="286" spans="1:13" ht="33" x14ac:dyDescent="0.25">
      <c r="A286" s="645" t="s">
        <v>756</v>
      </c>
      <c r="B286" s="491" t="str">
        <f>'целевые показатели'!B273</f>
        <v xml:space="preserve">Капитальный ремонт автомобильных дорог города Орла на улицах частной жилой застройки: ул. Магазинная </v>
      </c>
      <c r="C286" s="22">
        <v>5682.0492400000003</v>
      </c>
      <c r="D286" s="22">
        <v>0</v>
      </c>
      <c r="E286" s="22">
        <v>0</v>
      </c>
      <c r="F286" s="22">
        <f t="shared" si="14"/>
        <v>5625.2287476000001</v>
      </c>
      <c r="G286" s="231">
        <f t="shared" si="15"/>
        <v>56.820492400000148</v>
      </c>
      <c r="H286" s="236" t="s">
        <v>641</v>
      </c>
      <c r="K286" s="237"/>
    </row>
    <row r="287" spans="1:13" ht="33" x14ac:dyDescent="0.25">
      <c r="A287" s="645" t="s">
        <v>757</v>
      </c>
      <c r="B287" s="491" t="str">
        <f>'целевые показатели'!B274</f>
        <v>Капитальный ремонт автомобильных дорог города Орла на улицах частной жилой застройки: ул.Турбина</v>
      </c>
      <c r="C287" s="22">
        <f>'целевые показатели'!K274</f>
        <v>2769.9990025499997</v>
      </c>
      <c r="D287" s="22">
        <v>0</v>
      </c>
      <c r="E287" s="22">
        <v>0</v>
      </c>
      <c r="F287" s="22">
        <f t="shared" si="14"/>
        <v>2742.2990125244996</v>
      </c>
      <c r="G287" s="231">
        <f t="shared" si="15"/>
        <v>27.699990025500028</v>
      </c>
      <c r="H287" s="236" t="s">
        <v>685</v>
      </c>
      <c r="K287" s="237"/>
    </row>
    <row r="288" spans="1:13" ht="33" x14ac:dyDescent="0.25">
      <c r="A288" s="645" t="s">
        <v>758</v>
      </c>
      <c r="B288" s="491" t="str">
        <f>'целевые показатели'!B275</f>
        <v>Капитальный ремонт автомобильных дорог города Орла на улицах частной жилой застройки: ул.Кривцова</v>
      </c>
      <c r="C288" s="22">
        <f>'целевые показатели'!K275</f>
        <v>3551.2807724999993</v>
      </c>
      <c r="D288" s="22">
        <v>0</v>
      </c>
      <c r="E288" s="22">
        <v>0</v>
      </c>
      <c r="F288" s="22">
        <f t="shared" si="14"/>
        <v>3515.7679647749992</v>
      </c>
      <c r="G288" s="231">
        <f t="shared" si="15"/>
        <v>35.51280772500013</v>
      </c>
      <c r="H288" s="236" t="s">
        <v>685</v>
      </c>
      <c r="K288" s="237"/>
    </row>
    <row r="289" spans="1:11" ht="33" x14ac:dyDescent="0.25">
      <c r="A289" s="645" t="s">
        <v>759</v>
      </c>
      <c r="B289" s="491" t="str">
        <f>'целевые показатели'!B276</f>
        <v>Капитальный ремонт автомобильных дорог города Орла на улицах частной жилой застройки: пер.Городской</v>
      </c>
      <c r="C289" s="22">
        <f>'целевые показатели'!K276</f>
        <v>4561.4228588999995</v>
      </c>
      <c r="D289" s="22">
        <v>0</v>
      </c>
      <c r="E289" s="22">
        <v>0</v>
      </c>
      <c r="F289" s="22">
        <f t="shared" si="14"/>
        <v>4515.8086303109994</v>
      </c>
      <c r="G289" s="231">
        <f t="shared" si="15"/>
        <v>45.614228589000049</v>
      </c>
      <c r="H289" s="236" t="s">
        <v>685</v>
      </c>
      <c r="K289" s="237"/>
    </row>
    <row r="290" spans="1:11" ht="33" x14ac:dyDescent="0.25">
      <c r="A290" s="645" t="s">
        <v>760</v>
      </c>
      <c r="B290" s="491" t="str">
        <f>'целевые показатели'!B277</f>
        <v>Капитальный ремонт автомобильных дорог города Орла на улицах частной жилой застройки: ул.Линейная</v>
      </c>
      <c r="C290" s="22">
        <f>'целевые показатели'!K277</f>
        <v>7165.6954254000002</v>
      </c>
      <c r="D290" s="22">
        <v>0</v>
      </c>
      <c r="E290" s="22">
        <v>0</v>
      </c>
      <c r="F290" s="22">
        <f t="shared" si="14"/>
        <v>7094.0384711460001</v>
      </c>
      <c r="G290" s="231">
        <f t="shared" si="15"/>
        <v>71.656954254000084</v>
      </c>
      <c r="H290" s="236" t="s">
        <v>685</v>
      </c>
      <c r="K290" s="237"/>
    </row>
    <row r="291" spans="1:11" ht="33" x14ac:dyDescent="0.25">
      <c r="A291" s="645" t="s">
        <v>761</v>
      </c>
      <c r="B291" s="491" t="str">
        <f>'целевые показатели'!B278</f>
        <v>Капитальный ремонт автомобильных дорог города Орла на улицах частной жилой застройки: ул.Степная</v>
      </c>
      <c r="C291" s="22">
        <v>7544.4981699999998</v>
      </c>
      <c r="D291" s="22">
        <v>0</v>
      </c>
      <c r="E291" s="22">
        <v>0</v>
      </c>
      <c r="F291" s="22">
        <f t="shared" si="14"/>
        <v>7469.0531882999994</v>
      </c>
      <c r="G291" s="231">
        <f t="shared" si="15"/>
        <v>75.444981700000426</v>
      </c>
      <c r="H291" s="236" t="s">
        <v>685</v>
      </c>
      <c r="K291" s="237"/>
    </row>
    <row r="292" spans="1:11" ht="49.5" x14ac:dyDescent="0.25">
      <c r="A292" s="645" t="s">
        <v>762</v>
      </c>
      <c r="B292" s="503" t="str">
        <f>'целевые показатели'!B279</f>
        <v>Капитальный ремонт автомобильных дорог города Орла на улицах частной жилой застройки: ул.Лужковская от ул. Поселковая до ул. Афонина</v>
      </c>
      <c r="C292" s="343">
        <f>'целевые показатели'!K279</f>
        <v>4474.6138033500001</v>
      </c>
      <c r="D292" s="343">
        <v>0</v>
      </c>
      <c r="E292" s="343">
        <v>0</v>
      </c>
      <c r="F292" s="343">
        <f>C292*0.99-0.00001</f>
        <v>4429.8676553165005</v>
      </c>
      <c r="G292" s="239">
        <f>C292-F292-0.00001</f>
        <v>44.746138033499591</v>
      </c>
      <c r="H292" s="236" t="s">
        <v>685</v>
      </c>
      <c r="K292" s="237"/>
    </row>
    <row r="293" spans="1:11" ht="33" x14ac:dyDescent="0.25">
      <c r="A293" s="645" t="s">
        <v>763</v>
      </c>
      <c r="B293" s="491" t="str">
        <f>'целевые показатели'!B280</f>
        <v xml:space="preserve">Капитальный ремонт автомобильных дорог города Орла на улицах частной жилой застройки: ул.Уральская </v>
      </c>
      <c r="C293" s="22">
        <f>'целевые показатели'!K280</f>
        <v>2643.7312417500002</v>
      </c>
      <c r="D293" s="22">
        <v>0</v>
      </c>
      <c r="E293" s="22">
        <v>0</v>
      </c>
      <c r="F293" s="22">
        <f t="shared" si="14"/>
        <v>2617.2939293325003</v>
      </c>
      <c r="G293" s="231">
        <f t="shared" si="15"/>
        <v>26.437312417499925</v>
      </c>
      <c r="H293" s="236" t="s">
        <v>685</v>
      </c>
      <c r="K293" s="237"/>
    </row>
    <row r="294" spans="1:11" ht="33" x14ac:dyDescent="0.25">
      <c r="A294" s="645" t="s">
        <v>764</v>
      </c>
      <c r="B294" s="503" t="str">
        <f>'целевые показатели'!B281</f>
        <v>Капитальный ремонт автомобильных дорог города Орла на улицах частной жилой застройки: ул.Мичурина</v>
      </c>
      <c r="C294" s="343">
        <f>'целевые показатели'!K281</f>
        <v>10259.265565</v>
      </c>
      <c r="D294" s="343">
        <v>0</v>
      </c>
      <c r="E294" s="343">
        <v>0</v>
      </c>
      <c r="F294" s="343">
        <f t="shared" si="14"/>
        <v>10156.67290935</v>
      </c>
      <c r="G294" s="239">
        <f t="shared" si="15"/>
        <v>102.59265564999987</v>
      </c>
      <c r="H294" s="236" t="s">
        <v>641</v>
      </c>
      <c r="K294" s="237"/>
    </row>
    <row r="295" spans="1:11" ht="33" x14ac:dyDescent="0.25">
      <c r="A295" s="645" t="s">
        <v>765</v>
      </c>
      <c r="B295" s="491" t="str">
        <f>'целевые показатели'!B282</f>
        <v>Капитальный ремонт автомобильных дорог города Орла на улицах частной жилой застройки: ул. Смоленская</v>
      </c>
      <c r="C295" s="22">
        <f>'целевые показатели'!K282</f>
        <v>5074.3856371499996</v>
      </c>
      <c r="D295" s="22">
        <v>0</v>
      </c>
      <c r="E295" s="22">
        <v>0</v>
      </c>
      <c r="F295" s="22">
        <f t="shared" si="14"/>
        <v>5023.6417807784992</v>
      </c>
      <c r="G295" s="231">
        <f t="shared" si="15"/>
        <v>50.743856371500442</v>
      </c>
      <c r="H295" s="236" t="s">
        <v>641</v>
      </c>
      <c r="K295" s="237"/>
    </row>
    <row r="296" spans="1:11" ht="49.5" x14ac:dyDescent="0.25">
      <c r="A296" s="645" t="s">
        <v>766</v>
      </c>
      <c r="B296" s="491" t="str">
        <f>'целевые показатели'!B283</f>
        <v>Капитальный ремонт автомобильных дорог города Орла на улицах частной жилой застройки: ул. 3 Курская от ул. Магазинной до дома 94</v>
      </c>
      <c r="C296" s="22">
        <f>'целевые показатели'!K283</f>
        <v>1167.9767873999999</v>
      </c>
      <c r="D296" s="22">
        <v>0</v>
      </c>
      <c r="E296" s="22">
        <v>0</v>
      </c>
      <c r="F296" s="22">
        <f t="shared" si="14"/>
        <v>1156.297019526</v>
      </c>
      <c r="G296" s="231">
        <f t="shared" si="15"/>
        <v>11.679767873999936</v>
      </c>
      <c r="H296" s="236" t="s">
        <v>641</v>
      </c>
      <c r="K296" s="237"/>
    </row>
    <row r="297" spans="1:11" ht="33" x14ac:dyDescent="0.25">
      <c r="A297" s="645" t="s">
        <v>767</v>
      </c>
      <c r="B297" s="491" t="str">
        <f>'целевые показатели'!B284</f>
        <v>Капитальный ремонт автомобильных дорог города Орла на улицах частной жилой застройки: ул. Дружбы</v>
      </c>
      <c r="C297" s="22">
        <f>'целевые показатели'!K284</f>
        <v>4293.1038671999995</v>
      </c>
      <c r="D297" s="22">
        <v>0</v>
      </c>
      <c r="E297" s="22">
        <v>0</v>
      </c>
      <c r="F297" s="22">
        <f t="shared" si="14"/>
        <v>4250.1728285279996</v>
      </c>
      <c r="G297" s="231">
        <f t="shared" si="15"/>
        <v>42.931038671999886</v>
      </c>
      <c r="H297" s="236" t="s">
        <v>685</v>
      </c>
      <c r="K297" s="237"/>
    </row>
    <row r="298" spans="1:11" ht="30" customHeight="1" x14ac:dyDescent="0.25">
      <c r="A298" s="645" t="s">
        <v>768</v>
      </c>
      <c r="B298" s="491" t="str">
        <f>'целевые показатели'!B285</f>
        <v>Капитальный ремонт автомобильных дорог города Орла на улицах частной жилой застройки: пер. Ковыльный</v>
      </c>
      <c r="C298" s="22">
        <f>'целевые показатели'!K285</f>
        <v>3496.0386271500001</v>
      </c>
      <c r="D298" s="22">
        <v>0</v>
      </c>
      <c r="E298" s="22">
        <v>0</v>
      </c>
      <c r="F298" s="22">
        <f t="shared" si="14"/>
        <v>3461.0782408785003</v>
      </c>
      <c r="G298" s="231">
        <f t="shared" si="15"/>
        <v>34.960386271499829</v>
      </c>
      <c r="H298" s="236" t="s">
        <v>685</v>
      </c>
      <c r="K298" s="237"/>
    </row>
    <row r="299" spans="1:11" ht="33" x14ac:dyDescent="0.25">
      <c r="A299" s="645" t="s">
        <v>769</v>
      </c>
      <c r="B299" s="491" t="str">
        <f>'целевые показатели'!B286</f>
        <v>Капитальный ремонт автомобильных дорог города Орла на улицах частной жилой застройки: пер. Лужковский</v>
      </c>
      <c r="C299" s="22">
        <f>'целевые показатели'!K286</f>
        <v>5634.6988257000003</v>
      </c>
      <c r="D299" s="22">
        <v>0</v>
      </c>
      <c r="E299" s="22">
        <v>0</v>
      </c>
      <c r="F299" s="22">
        <f t="shared" si="14"/>
        <v>5578.3518374430005</v>
      </c>
      <c r="G299" s="231">
        <f t="shared" si="15"/>
        <v>56.346988256999794</v>
      </c>
      <c r="H299" s="236" t="s">
        <v>685</v>
      </c>
      <c r="K299" s="237"/>
    </row>
    <row r="300" spans="1:11" ht="33" x14ac:dyDescent="0.25">
      <c r="A300" s="645" t="s">
        <v>770</v>
      </c>
      <c r="B300" s="491" t="str">
        <f>'целевые показатели'!B287</f>
        <v>Капитальный ремонт автомобильных дорог города Орла на улицах частной жилой застройки: пер. Менделеева</v>
      </c>
      <c r="C300" s="22">
        <f>'целевые показатели'!K287</f>
        <v>1120.6263270999998</v>
      </c>
      <c r="D300" s="22">
        <v>0</v>
      </c>
      <c r="E300" s="22">
        <v>0</v>
      </c>
      <c r="F300" s="22">
        <f>C300*0.99</f>
        <v>1109.4200638289999</v>
      </c>
      <c r="G300" s="231">
        <f>C300-F300+0.00001</f>
        <v>11.206273270999898</v>
      </c>
      <c r="H300" s="236" t="s">
        <v>685</v>
      </c>
      <c r="K300" s="237"/>
    </row>
    <row r="301" spans="1:11" ht="33" x14ac:dyDescent="0.25">
      <c r="A301" s="645" t="s">
        <v>771</v>
      </c>
      <c r="B301" s="491" t="str">
        <f>'целевые показатели'!B288</f>
        <v>Капитальный ремонт автомобильных дорог города Орла на улицах частной жилой застройки: пер. Еловый</v>
      </c>
      <c r="C301" s="22">
        <f>'целевые показатели'!K288</f>
        <v>1262.6776079999997</v>
      </c>
      <c r="D301" s="22">
        <v>0</v>
      </c>
      <c r="E301" s="22">
        <v>0</v>
      </c>
      <c r="F301" s="22">
        <f t="shared" si="14"/>
        <v>1250.0508319199998</v>
      </c>
      <c r="G301" s="231">
        <f t="shared" si="15"/>
        <v>12.6267760799999</v>
      </c>
      <c r="H301" s="236" t="s">
        <v>685</v>
      </c>
      <c r="K301" s="237"/>
    </row>
    <row r="302" spans="1:11" ht="33" x14ac:dyDescent="0.25">
      <c r="A302" s="645" t="s">
        <v>772</v>
      </c>
      <c r="B302" s="491" t="str">
        <f>'целевые показатели'!B289</f>
        <v>Капитальный ремонт автомобильных дорог города Орла на улицах частной жилой застройки: ул. Светлая</v>
      </c>
      <c r="C302" s="22">
        <f>'целевые показатели'!K289</f>
        <v>3685.4402683500002</v>
      </c>
      <c r="D302" s="22">
        <v>0</v>
      </c>
      <c r="E302" s="22">
        <v>0</v>
      </c>
      <c r="F302" s="22">
        <f t="shared" si="14"/>
        <v>3648.5858656665</v>
      </c>
      <c r="G302" s="231">
        <f t="shared" si="15"/>
        <v>36.854402683500211</v>
      </c>
      <c r="H302" s="236" t="s">
        <v>685</v>
      </c>
      <c r="K302" s="237"/>
    </row>
    <row r="303" spans="1:11" ht="33" x14ac:dyDescent="0.25">
      <c r="A303" s="645" t="s">
        <v>773</v>
      </c>
      <c r="B303" s="491" t="str">
        <f>'целевые показатели'!B290</f>
        <v>Капитальный ремонт автомобильных дорог города Орла на улицах частной жилой застройки: пер. Грибной</v>
      </c>
      <c r="C303" s="22">
        <f>'целевые показатели'!K290</f>
        <v>1467.8627192999998</v>
      </c>
      <c r="D303" s="22">
        <v>0</v>
      </c>
      <c r="E303" s="22">
        <v>0</v>
      </c>
      <c r="F303" s="22">
        <f t="shared" si="14"/>
        <v>1453.1840921069997</v>
      </c>
      <c r="G303" s="231">
        <f t="shared" si="15"/>
        <v>14.678627193000011</v>
      </c>
      <c r="H303" s="236" t="s">
        <v>685</v>
      </c>
      <c r="K303" s="237"/>
    </row>
    <row r="304" spans="1:11" ht="53.25" customHeight="1" x14ac:dyDescent="0.25">
      <c r="A304" s="645" t="s">
        <v>774</v>
      </c>
      <c r="B304" s="491" t="str">
        <f>'целевые показатели'!B291</f>
        <v>Капитальный ремонт автомобильных дорог города Орла на улицах частной жилой застройки: ул. 6 Орловской дивизии (на участке от ул. Афонина до ул. Поселковая)</v>
      </c>
      <c r="C304" s="22">
        <f>'целевые показатели'!K291</f>
        <v>3535.4973024000001</v>
      </c>
      <c r="D304" s="22">
        <v>0</v>
      </c>
      <c r="E304" s="22">
        <v>0</v>
      </c>
      <c r="F304" s="22">
        <f t="shared" si="14"/>
        <v>3500.1423293759999</v>
      </c>
      <c r="G304" s="231">
        <f t="shared" si="15"/>
        <v>35.354973024000174</v>
      </c>
      <c r="H304" s="236" t="s">
        <v>685</v>
      </c>
      <c r="K304" s="237"/>
    </row>
    <row r="305" spans="1:11" ht="33" x14ac:dyDescent="0.25">
      <c r="A305" s="645" t="s">
        <v>775</v>
      </c>
      <c r="B305" s="491" t="str">
        <f>'целевые показатели'!B292</f>
        <v>Капитальный ремонт автомобильных дорог города Орла на улицах частной жилой застройки: ул. Заречная</v>
      </c>
      <c r="C305" s="22">
        <f>'целевые показатели'!K292</f>
        <v>7189.37063055</v>
      </c>
      <c r="D305" s="22">
        <v>0</v>
      </c>
      <c r="E305" s="22">
        <v>0</v>
      </c>
      <c r="F305" s="22">
        <f t="shared" si="14"/>
        <v>7117.4769242445</v>
      </c>
      <c r="G305" s="231">
        <f t="shared" si="15"/>
        <v>71.893706305500018</v>
      </c>
      <c r="H305" s="236" t="s">
        <v>685</v>
      </c>
      <c r="K305" s="237"/>
    </row>
    <row r="306" spans="1:11" ht="33" x14ac:dyDescent="0.25">
      <c r="A306" s="645" t="s">
        <v>776</v>
      </c>
      <c r="B306" s="491" t="str">
        <f>'целевые показатели'!B293</f>
        <v>Капитальный ремонт автомобильных дорог города Орла на улицах частной жилой застройки: ул. Тимирязева</v>
      </c>
      <c r="C306" s="22">
        <f>'целевые показатели'!K293</f>
        <v>7670.7664385999997</v>
      </c>
      <c r="D306" s="22">
        <v>0</v>
      </c>
      <c r="E306" s="22">
        <v>0</v>
      </c>
      <c r="F306" s="22">
        <f>C306*0.99</f>
        <v>7594.0587742139996</v>
      </c>
      <c r="G306" s="231">
        <f>C306-F306+0.00001</f>
        <v>76.707674386000036</v>
      </c>
      <c r="H306" s="236" t="s">
        <v>685</v>
      </c>
      <c r="K306" s="237"/>
    </row>
    <row r="307" spans="1:11" ht="33" x14ac:dyDescent="0.25">
      <c r="A307" s="645" t="s">
        <v>777</v>
      </c>
      <c r="B307" s="491" t="str">
        <f>'целевые показатели'!B294</f>
        <v>Капитальный ремонт автомобильных дорог города Орла на улицах частной жилой застройки: ул. Афонина</v>
      </c>
      <c r="C307" s="22">
        <f>'целевые показатели'!K294</f>
        <v>5074.3856371499996</v>
      </c>
      <c r="D307" s="22">
        <v>0</v>
      </c>
      <c r="E307" s="22">
        <v>0</v>
      </c>
      <c r="F307" s="22">
        <f t="shared" si="14"/>
        <v>5023.6417807784992</v>
      </c>
      <c r="G307" s="231">
        <f t="shared" si="15"/>
        <v>50.743856371500442</v>
      </c>
      <c r="H307" s="236" t="s">
        <v>685</v>
      </c>
      <c r="K307" s="237"/>
    </row>
    <row r="308" spans="1:11" ht="33" x14ac:dyDescent="0.25">
      <c r="A308" s="645" t="s">
        <v>778</v>
      </c>
      <c r="B308" s="491" t="str">
        <f>'целевые показатели'!B295</f>
        <v>Капитальный ремонт автомобильных дорог города Орла на улицах частной жилой застройки: пер. Пойменный</v>
      </c>
      <c r="C308" s="22">
        <f>'целевые показатели'!K295</f>
        <v>2754.2155624500001</v>
      </c>
      <c r="D308" s="22">
        <v>0</v>
      </c>
      <c r="E308" s="22">
        <v>0</v>
      </c>
      <c r="F308" s="22">
        <f>C308*0.99-0.00001</f>
        <v>2726.6733968254998</v>
      </c>
      <c r="G308" s="231">
        <f>C308-F308-0.00001</f>
        <v>27.542155624500285</v>
      </c>
      <c r="H308" s="236" t="s">
        <v>685</v>
      </c>
      <c r="I308" s="22">
        <v>4695.5823547500004</v>
      </c>
      <c r="K308" s="237"/>
    </row>
    <row r="309" spans="1:11" ht="33" x14ac:dyDescent="0.25">
      <c r="A309" s="645" t="s">
        <v>779</v>
      </c>
      <c r="B309" s="491" t="str">
        <f>'целевые показатели'!B296</f>
        <v>Капитальный ремонт автомобильных дорог города Орла на улицах частной жилой застройки: пер. Отрадный</v>
      </c>
      <c r="C309" s="22">
        <f>'целевые показатели'!K296</f>
        <v>1191.6519925499999</v>
      </c>
      <c r="D309" s="22">
        <v>0</v>
      </c>
      <c r="E309" s="22">
        <v>0</v>
      </c>
      <c r="F309" s="22">
        <f t="shared" si="14"/>
        <v>1179.7354726244998</v>
      </c>
      <c r="G309" s="231">
        <f t="shared" si="15"/>
        <v>11.916519925500097</v>
      </c>
      <c r="H309" s="236" t="s">
        <v>685</v>
      </c>
      <c r="I309" s="22">
        <v>2612.1643015499999</v>
      </c>
      <c r="K309" s="237"/>
    </row>
    <row r="310" spans="1:11" ht="33" x14ac:dyDescent="0.25">
      <c r="A310" s="645" t="s">
        <v>780</v>
      </c>
      <c r="B310" s="491" t="str">
        <f>'целевые показатели'!B297</f>
        <v>Капитальный ремонт автомобильных дорог города Орла на улицах частной жилой застройки: ул. Пойменная 1 этап</v>
      </c>
      <c r="C310" s="22">
        <f>I308+I309</f>
        <v>7307.7466562999998</v>
      </c>
      <c r="D310" s="22">
        <v>0</v>
      </c>
      <c r="E310" s="22">
        <v>0</v>
      </c>
      <c r="F310" s="22">
        <f t="shared" si="14"/>
        <v>7234.6691897370001</v>
      </c>
      <c r="G310" s="231">
        <f t="shared" si="15"/>
        <v>73.077466562999689</v>
      </c>
      <c r="H310" s="236" t="s">
        <v>685</v>
      </c>
      <c r="I310" s="498"/>
      <c r="K310" s="237"/>
    </row>
    <row r="311" spans="1:11" ht="33" x14ac:dyDescent="0.25">
      <c r="A311" s="645" t="s">
        <v>781</v>
      </c>
      <c r="B311" s="491" t="str">
        <f>'целевые показатели'!B298</f>
        <v>Капитальный ремонт автомобильных дорог города Орла на улицах частной жилой застройки: пер. Преображенского</v>
      </c>
      <c r="C311" s="22">
        <f>'целевые показатели'!K298</f>
        <v>1791.4238563500001</v>
      </c>
      <c r="D311" s="22">
        <v>0</v>
      </c>
      <c r="E311" s="22">
        <v>0</v>
      </c>
      <c r="F311" s="22">
        <f t="shared" si="14"/>
        <v>1773.5096177865</v>
      </c>
      <c r="G311" s="231">
        <f t="shared" si="15"/>
        <v>17.914238563500021</v>
      </c>
      <c r="H311" s="236" t="s">
        <v>685</v>
      </c>
      <c r="K311" s="237"/>
    </row>
    <row r="312" spans="1:11" ht="33" x14ac:dyDescent="0.25">
      <c r="A312" s="645" t="s">
        <v>782</v>
      </c>
      <c r="B312" s="491" t="str">
        <f>'целевые показатели'!B299</f>
        <v>Капитальный ремонт автомобильных дорог города Орла на улицах частной жилой застройки: ул. Радужная</v>
      </c>
      <c r="C312" s="22">
        <f>'целевые показатели'!K299</f>
        <v>4561.4228588999995</v>
      </c>
      <c r="D312" s="22">
        <v>0</v>
      </c>
      <c r="E312" s="22">
        <v>0</v>
      </c>
      <c r="F312" s="22">
        <f t="shared" si="14"/>
        <v>4515.8086303109994</v>
      </c>
      <c r="G312" s="231">
        <f t="shared" si="15"/>
        <v>45.614228589000049</v>
      </c>
      <c r="H312" s="236" t="s">
        <v>685</v>
      </c>
      <c r="K312" s="237"/>
    </row>
    <row r="313" spans="1:11" ht="33" x14ac:dyDescent="0.25">
      <c r="A313" s="645" t="s">
        <v>783</v>
      </c>
      <c r="B313" s="491" t="str">
        <f>'целевые показатели'!B300</f>
        <v>Капитальный ремонт автомобильных дорог города Орла на улицах частной жилой застройки: Равнинный пер.</v>
      </c>
      <c r="C313" s="22">
        <f>'целевые показатели'!K300</f>
        <v>1365.2701636499999</v>
      </c>
      <c r="D313" s="22">
        <v>0</v>
      </c>
      <c r="E313" s="22">
        <v>0</v>
      </c>
      <c r="F313" s="22">
        <f t="shared" si="14"/>
        <v>1351.6174620134998</v>
      </c>
      <c r="G313" s="231">
        <f t="shared" si="15"/>
        <v>13.652701636500069</v>
      </c>
      <c r="H313" s="236" t="s">
        <v>685</v>
      </c>
      <c r="K313" s="237"/>
    </row>
    <row r="314" spans="1:11" ht="33" x14ac:dyDescent="0.25">
      <c r="A314" s="645" t="s">
        <v>784</v>
      </c>
      <c r="B314" s="491" t="str">
        <f>'целевые показатели'!B301</f>
        <v>Капитальный ремонт автомобильных дорог города Орла на улицах частной жилой застройки: пер. Скульптурный</v>
      </c>
      <c r="C314" s="22">
        <f>'целевые показатели'!K301</f>
        <v>1049.6007616500001</v>
      </c>
      <c r="D314" s="22">
        <v>0</v>
      </c>
      <c r="E314" s="22">
        <v>0</v>
      </c>
      <c r="F314" s="22">
        <f t="shared" si="14"/>
        <v>1039.1047540335001</v>
      </c>
      <c r="G314" s="231">
        <f t="shared" si="15"/>
        <v>10.496007616500037</v>
      </c>
      <c r="H314" s="236" t="s">
        <v>685</v>
      </c>
      <c r="K314" s="237"/>
    </row>
    <row r="315" spans="1:11" ht="33" x14ac:dyDescent="0.25">
      <c r="A315" s="645" t="s">
        <v>785</v>
      </c>
      <c r="B315" s="491" t="str">
        <f>'целевые показатели'!B302</f>
        <v>Капитальный ремонт автомобильных дорог города Орла на улицах частной жилой застройки: пер. Проходной</v>
      </c>
      <c r="C315" s="22">
        <f>'целевые показатели'!K302</f>
        <v>970.68341114999998</v>
      </c>
      <c r="D315" s="22">
        <v>0</v>
      </c>
      <c r="E315" s="22">
        <v>0</v>
      </c>
      <c r="F315" s="22">
        <f t="shared" si="14"/>
        <v>960.97657703849995</v>
      </c>
      <c r="G315" s="231">
        <f t="shared" si="15"/>
        <v>9.7068341115000294</v>
      </c>
      <c r="H315" s="236" t="s">
        <v>685</v>
      </c>
      <c r="K315" s="237"/>
    </row>
    <row r="316" spans="1:11" ht="33" x14ac:dyDescent="0.25">
      <c r="A316" s="645" t="s">
        <v>786</v>
      </c>
      <c r="B316" s="491" t="str">
        <f>'целевые показатели'!B303</f>
        <v>Капитальный ремонт автомобильных дорог города Орла на улицах частной жилой застройки: пер. Заливной</v>
      </c>
      <c r="C316" s="22">
        <f>'целевые показатели'!K303</f>
        <v>1262.6776079999997</v>
      </c>
      <c r="D316" s="22">
        <v>0</v>
      </c>
      <c r="E316" s="22">
        <v>0</v>
      </c>
      <c r="F316" s="22">
        <f t="shared" si="14"/>
        <v>1250.0508319199998</v>
      </c>
      <c r="G316" s="231">
        <f t="shared" si="15"/>
        <v>12.6267760799999</v>
      </c>
      <c r="H316" s="236" t="s">
        <v>685</v>
      </c>
      <c r="K316" s="237"/>
    </row>
    <row r="317" spans="1:11" ht="33" x14ac:dyDescent="0.25">
      <c r="A317" s="645" t="s">
        <v>787</v>
      </c>
      <c r="B317" s="491" t="str">
        <f>'целевые показатели'!B304</f>
        <v>Капитальный ремонт автомобильных дорог города Орла на улицах частной жилой застройки: ул. Преображенского</v>
      </c>
      <c r="C317" s="22">
        <f>'целевые показатели'!K304</f>
        <v>7726.0086339499985</v>
      </c>
      <c r="D317" s="22">
        <v>0</v>
      </c>
      <c r="E317" s="22">
        <v>0</v>
      </c>
      <c r="F317" s="22">
        <f>C317*0.99-0.00001</f>
        <v>7648.7485376104987</v>
      </c>
      <c r="G317" s="231">
        <f>C317-F317-0.00001</f>
        <v>77.260086339499793</v>
      </c>
      <c r="H317" s="236" t="s">
        <v>685</v>
      </c>
      <c r="K317" s="237"/>
    </row>
    <row r="318" spans="1:11" ht="33" x14ac:dyDescent="0.25">
      <c r="A318" s="645" t="s">
        <v>788</v>
      </c>
      <c r="B318" s="491" t="str">
        <f>'целевые показатели'!B305</f>
        <v>Капитальный ремонт автомобильных дорог города Орла на улицах частной жилой застройки: пер. Донской</v>
      </c>
      <c r="C318" s="22">
        <f>'целевые показатели'!K305</f>
        <v>5034.9269618999997</v>
      </c>
      <c r="D318" s="22">
        <v>0</v>
      </c>
      <c r="E318" s="22">
        <v>0</v>
      </c>
      <c r="F318" s="22">
        <f t="shared" si="14"/>
        <v>4984.5776922810001</v>
      </c>
      <c r="G318" s="231">
        <f t="shared" si="15"/>
        <v>50.349269618999642</v>
      </c>
      <c r="H318" s="236" t="s">
        <v>685</v>
      </c>
      <c r="K318" s="237"/>
    </row>
    <row r="319" spans="1:11" ht="33" x14ac:dyDescent="0.25">
      <c r="A319" s="645" t="s">
        <v>789</v>
      </c>
      <c r="B319" s="491" t="str">
        <f>'целевые показатели'!B306</f>
        <v>Капитальный ремонт автомобильных дорог города Орла на улицах частной жилой застройки: туп. Стеклянный</v>
      </c>
      <c r="C319" s="22">
        <f>'целевые показатели'!K306</f>
        <v>1459.9709842499999</v>
      </c>
      <c r="D319" s="22">
        <v>0</v>
      </c>
      <c r="E319" s="22">
        <v>0</v>
      </c>
      <c r="F319" s="22">
        <f t="shared" si="14"/>
        <v>1445.3712744074999</v>
      </c>
      <c r="G319" s="231">
        <f t="shared" si="15"/>
        <v>14.599709842500033</v>
      </c>
      <c r="H319" s="236" t="s">
        <v>685</v>
      </c>
      <c r="K319" s="237"/>
    </row>
    <row r="320" spans="1:11" ht="33" x14ac:dyDescent="0.25">
      <c r="A320" s="645" t="s">
        <v>790</v>
      </c>
      <c r="B320" s="491" t="str">
        <f>'целевые показатели'!B307</f>
        <v>Капитальный ремонт автомобильных дорог города Орла на улицах частной жилой застройки: пер. Стеклянный</v>
      </c>
      <c r="C320" s="22">
        <f>'целевые показатели'!K307</f>
        <v>828.63218024999981</v>
      </c>
      <c r="D320" s="22">
        <v>0</v>
      </c>
      <c r="E320" s="22">
        <v>0</v>
      </c>
      <c r="F320" s="22">
        <f t="shared" si="14"/>
        <v>820.34585844749984</v>
      </c>
      <c r="G320" s="231">
        <f t="shared" si="15"/>
        <v>8.2863218024999696</v>
      </c>
      <c r="H320" s="236" t="s">
        <v>685</v>
      </c>
      <c r="K320" s="237"/>
    </row>
    <row r="321" spans="1:11" ht="33" x14ac:dyDescent="0.25">
      <c r="A321" s="645" t="s">
        <v>791</v>
      </c>
      <c r="B321" s="491" t="str">
        <f>'целевые показатели'!B308</f>
        <v>Капитальный ремонт автомобильных дорог города Орла на улицах частной жилой застройки: пер. Игрушечный</v>
      </c>
      <c r="C321" s="22">
        <f>'целевые показатели'!K308</f>
        <v>2549.0304211499997</v>
      </c>
      <c r="D321" s="22">
        <v>0</v>
      </c>
      <c r="E321" s="22">
        <v>0</v>
      </c>
      <c r="F321" s="22">
        <f t="shared" si="14"/>
        <v>2523.5401169384995</v>
      </c>
      <c r="G321" s="231">
        <f t="shared" si="15"/>
        <v>25.490304211500188</v>
      </c>
      <c r="H321" s="236" t="s">
        <v>685</v>
      </c>
      <c r="K321" s="237"/>
    </row>
    <row r="322" spans="1:11" ht="33" x14ac:dyDescent="0.25">
      <c r="A322" s="645" t="s">
        <v>792</v>
      </c>
      <c r="B322" s="491" t="str">
        <f>'целевые показатели'!B309</f>
        <v>Капитальный ремонт автомобильных дорог города Орла на улицах частной жилой застройки: туп. Линейный</v>
      </c>
      <c r="C322" s="22">
        <f>'целевые показатели'!K309</f>
        <v>2391.1957201499999</v>
      </c>
      <c r="D322" s="22">
        <v>0</v>
      </c>
      <c r="E322" s="22">
        <v>0</v>
      </c>
      <c r="F322" s="22">
        <f t="shared" si="14"/>
        <v>2367.2837629484998</v>
      </c>
      <c r="G322" s="231">
        <f t="shared" si="15"/>
        <v>23.911957201500172</v>
      </c>
      <c r="H322" s="236" t="s">
        <v>685</v>
      </c>
      <c r="K322" s="237"/>
    </row>
    <row r="323" spans="1:11" ht="33" x14ac:dyDescent="0.25">
      <c r="A323" s="645" t="s">
        <v>793</v>
      </c>
      <c r="B323" s="491" t="str">
        <f>'целевые показатели'!B310</f>
        <v>Капитальный ремонт автомобильных дорог города Орла на улицах частной жилой застройки: ул. Чкалова</v>
      </c>
      <c r="C323" s="22">
        <f>'целевые показатели'!K310</f>
        <v>11837.602574999999</v>
      </c>
      <c r="D323" s="22">
        <v>0</v>
      </c>
      <c r="E323" s="22">
        <v>0</v>
      </c>
      <c r="F323" s="22">
        <f t="shared" si="14"/>
        <v>11719.226549249999</v>
      </c>
      <c r="G323" s="231">
        <f t="shared" si="15"/>
        <v>118.37602574999983</v>
      </c>
      <c r="H323" s="446" t="s">
        <v>641</v>
      </c>
      <c r="K323" s="237"/>
    </row>
    <row r="324" spans="1:11" ht="33" x14ac:dyDescent="0.25">
      <c r="A324" s="645" t="s">
        <v>794</v>
      </c>
      <c r="B324" s="491" t="str">
        <f>'целевые показатели'!B311</f>
        <v>Капитальный ремонт автомобильных дорог города Орла на улицах частной жилой застройки: ул. Станционная</v>
      </c>
      <c r="C324" s="22">
        <f>'целевые показатели'!K311</f>
        <v>6921.05163885</v>
      </c>
      <c r="D324" s="22">
        <v>0</v>
      </c>
      <c r="E324" s="22">
        <v>0</v>
      </c>
      <c r="F324" s="22">
        <f t="shared" si="14"/>
        <v>6851.8411224615002</v>
      </c>
      <c r="G324" s="231">
        <f t="shared" si="15"/>
        <v>69.210516388499855</v>
      </c>
      <c r="H324" s="446" t="s">
        <v>641</v>
      </c>
      <c r="K324" s="237"/>
    </row>
    <row r="325" spans="1:11" ht="33" x14ac:dyDescent="0.25">
      <c r="A325" s="645" t="s">
        <v>795</v>
      </c>
      <c r="B325" s="491" t="str">
        <f>'целевые показатели'!B312</f>
        <v>Капитальный ремонт автомобильных дорог города Орла на улицах частной жилой застройки: ул. Лесопильная</v>
      </c>
      <c r="C325" s="22">
        <f>'целевые показатели'!K312</f>
        <v>7891.7350500000002</v>
      </c>
      <c r="D325" s="22">
        <v>0</v>
      </c>
      <c r="E325" s="22">
        <v>0</v>
      </c>
      <c r="F325" s="22">
        <f t="shared" si="14"/>
        <v>7812.8176995000003</v>
      </c>
      <c r="G325" s="231">
        <f t="shared" si="15"/>
        <v>78.917350499999884</v>
      </c>
      <c r="H325" s="446" t="s">
        <v>641</v>
      </c>
      <c r="K325" s="237"/>
    </row>
    <row r="326" spans="1:11" ht="33" x14ac:dyDescent="0.25">
      <c r="A326" s="645" t="s">
        <v>796</v>
      </c>
      <c r="B326" s="491" t="str">
        <f>'целевые показатели'!B313</f>
        <v>Капитальный ремонт автомобильных дорог города Орла на улицах частной жилой застройки: ул. Деревообделочная</v>
      </c>
      <c r="C326" s="22">
        <f>'целевые показатели'!K313</f>
        <v>7891.7350500000002</v>
      </c>
      <c r="D326" s="22">
        <v>0</v>
      </c>
      <c r="E326" s="22">
        <v>0</v>
      </c>
      <c r="F326" s="22">
        <f t="shared" si="14"/>
        <v>7812.8176995000003</v>
      </c>
      <c r="G326" s="231">
        <f t="shared" si="15"/>
        <v>78.917350499999884</v>
      </c>
      <c r="H326" s="446" t="s">
        <v>641</v>
      </c>
      <c r="K326" s="237"/>
    </row>
    <row r="327" spans="1:11" ht="33" x14ac:dyDescent="0.25">
      <c r="A327" s="645" t="s">
        <v>797</v>
      </c>
      <c r="B327" s="491" t="str">
        <f>'целевые показатели'!B314</f>
        <v>Капитальный ремонт автомобильных дорог города Орла на улицах частной жилой застройки: ул. Шульгина 1 этап</v>
      </c>
      <c r="C327" s="22">
        <f>I327+J327</f>
        <v>12587.31740475</v>
      </c>
      <c r="D327" s="22">
        <v>0</v>
      </c>
      <c r="E327" s="22">
        <v>0</v>
      </c>
      <c r="F327" s="22">
        <f t="shared" si="14"/>
        <v>12461.4442307025</v>
      </c>
      <c r="G327" s="231">
        <f t="shared" si="15"/>
        <v>125.87317404749956</v>
      </c>
      <c r="H327" s="446" t="s">
        <v>641</v>
      </c>
      <c r="I327" s="22">
        <v>10259.255564999999</v>
      </c>
      <c r="J327" s="22">
        <v>2328.0618397499998</v>
      </c>
      <c r="K327" s="237"/>
    </row>
    <row r="328" spans="1:11" ht="33" x14ac:dyDescent="0.25">
      <c r="A328" s="645" t="s">
        <v>798</v>
      </c>
      <c r="B328" s="499" t="str">
        <f>'целевые показатели'!B315</f>
        <v>Капитальный ремонт автомобильных дорог города Орла на улицах частной жилой застройки: ул. Крестьянская</v>
      </c>
      <c r="C328" s="22">
        <f>'целевые показатели'!K315</f>
        <v>3724.8989435999997</v>
      </c>
      <c r="D328" s="22">
        <v>0</v>
      </c>
      <c r="E328" s="22">
        <v>0</v>
      </c>
      <c r="F328" s="22">
        <f t="shared" si="14"/>
        <v>3687.6499541639996</v>
      </c>
      <c r="G328" s="231">
        <f t="shared" si="15"/>
        <v>37.248989436000102</v>
      </c>
      <c r="H328" s="446" t="s">
        <v>641</v>
      </c>
      <c r="K328" s="237"/>
    </row>
    <row r="329" spans="1:11" ht="33" x14ac:dyDescent="0.25">
      <c r="A329" s="645" t="s">
        <v>799</v>
      </c>
      <c r="B329" s="491" t="str">
        <f>'целевые показатели'!B316</f>
        <v>Капитальный ремонт автомобильных дорог города Орла на улицах частной жилой застройки: пер. Смоленский</v>
      </c>
      <c r="C329" s="22">
        <f>'целевые показатели'!K316</f>
        <v>2706.8651221500004</v>
      </c>
      <c r="D329" s="22">
        <v>0</v>
      </c>
      <c r="E329" s="22">
        <v>0</v>
      </c>
      <c r="F329" s="22">
        <f t="shared" si="14"/>
        <v>2679.7964709285002</v>
      </c>
      <c r="G329" s="231">
        <f t="shared" si="15"/>
        <v>27.068651221500204</v>
      </c>
      <c r="H329" s="446" t="s">
        <v>641</v>
      </c>
      <c r="K329" s="237"/>
    </row>
    <row r="330" spans="1:11" ht="33" x14ac:dyDescent="0.25">
      <c r="A330" s="645" t="s">
        <v>800</v>
      </c>
      <c r="B330" s="491" t="str">
        <f>'целевые показатели'!B317</f>
        <v>Капитальный ремонт автомобильных дорог города Орла на улицах частной жилой застройки: ул. Текстильная</v>
      </c>
      <c r="C330" s="172">
        <f>'целевые показатели'!K317</f>
        <v>3582.8477427000003</v>
      </c>
      <c r="D330" s="22">
        <v>0</v>
      </c>
      <c r="E330" s="22">
        <v>0</v>
      </c>
      <c r="F330" s="22">
        <f>C330*0.99-0.00001</f>
        <v>3547.019255273</v>
      </c>
      <c r="G330" s="231">
        <f>C330-F330-0.00001</f>
        <v>35.828477427000252</v>
      </c>
      <c r="H330" s="446" t="s">
        <v>641</v>
      </c>
      <c r="K330" s="237"/>
    </row>
    <row r="331" spans="1:11" ht="33" x14ac:dyDescent="0.25">
      <c r="A331" s="645" t="s">
        <v>801</v>
      </c>
      <c r="B331" s="229" t="str">
        <f>'целевые показатели'!B318</f>
        <v>Капитальный ремонт автомобильных дорог города Орла на улицах частной жилой застройки: ул. Лазо</v>
      </c>
      <c r="C331" s="22">
        <f>2588.4891+6791.20452</f>
        <v>9379.69362</v>
      </c>
      <c r="D331" s="22">
        <v>0</v>
      </c>
      <c r="E331" s="22">
        <v>0</v>
      </c>
      <c r="F331" s="22">
        <f t="shared" si="14"/>
        <v>9285.8966837999997</v>
      </c>
      <c r="G331" s="231">
        <f t="shared" si="15"/>
        <v>93.796936200000346</v>
      </c>
      <c r="H331" s="446" t="s">
        <v>641</v>
      </c>
      <c r="K331" s="237"/>
    </row>
    <row r="332" spans="1:11" ht="33" x14ac:dyDescent="0.25">
      <c r="A332" s="645" t="s">
        <v>802</v>
      </c>
      <c r="B332" s="229" t="str">
        <f>'целевые показатели'!B398</f>
        <v>разработка проектно-сметной документации и проведение проверки достоверности сметной стоимости</v>
      </c>
      <c r="C332" s="22">
        <f>'целевые показатели'!K398</f>
        <v>3474.7584799999995</v>
      </c>
      <c r="D332" s="22">
        <v>0</v>
      </c>
      <c r="E332" s="22">
        <v>0</v>
      </c>
      <c r="F332" s="22">
        <v>0</v>
      </c>
      <c r="G332" s="328">
        <f t="shared" si="15"/>
        <v>3474.7584799999995</v>
      </c>
      <c r="H332" s="238" t="s">
        <v>676</v>
      </c>
      <c r="K332" s="237"/>
    </row>
    <row r="333" spans="1:11" ht="21" customHeight="1" x14ac:dyDescent="0.25">
      <c r="A333" s="762" t="s">
        <v>20</v>
      </c>
      <c r="B333" s="763"/>
      <c r="C333" s="763"/>
      <c r="D333" s="763"/>
      <c r="E333" s="763"/>
      <c r="F333" s="763"/>
      <c r="G333" s="764"/>
    </row>
    <row r="334" spans="1:11" x14ac:dyDescent="0.25">
      <c r="A334" s="410">
        <v>1</v>
      </c>
      <c r="B334" s="321" t="s">
        <v>44</v>
      </c>
      <c r="C334" s="313">
        <f>SUM(C336:C344)</f>
        <v>944090.9090937071</v>
      </c>
      <c r="D334" s="313">
        <f>SUM(D336:D344)</f>
        <v>0</v>
      </c>
      <c r="E334" s="313">
        <f>SUM(E336:E344)</f>
        <v>0</v>
      </c>
      <c r="F334" s="313">
        <f>SUM(F336:F344)</f>
        <v>934650.0000027701</v>
      </c>
      <c r="G334" s="411">
        <f>SUM(G336:G344)</f>
        <v>9390.4040404370426</v>
      </c>
      <c r="H334" s="236">
        <f>'целевые показатели'!L26</f>
        <v>909090.90908999997</v>
      </c>
      <c r="I334" s="236">
        <f>F345+F364</f>
        <v>399119.20000311674</v>
      </c>
      <c r="J334" s="237">
        <f>C345+C364</f>
        <v>829123.72707082494</v>
      </c>
    </row>
    <row r="335" spans="1:11" x14ac:dyDescent="0.25">
      <c r="A335" s="228" t="s">
        <v>45</v>
      </c>
      <c r="B335" s="325" t="s">
        <v>22</v>
      </c>
      <c r="C335" s="22">
        <f>'целевые показатели'!L27</f>
        <v>699795.99539000005</v>
      </c>
      <c r="D335" s="22">
        <v>0</v>
      </c>
      <c r="E335" s="22">
        <v>0</v>
      </c>
      <c r="F335" s="22">
        <f>C335*0.99</f>
        <v>692798.03543610009</v>
      </c>
      <c r="G335" s="231">
        <f>C335-F335</f>
        <v>6997.959953899961</v>
      </c>
    </row>
    <row r="336" spans="1:11" x14ac:dyDescent="0.25">
      <c r="A336" s="240" t="s">
        <v>172</v>
      </c>
      <c r="B336" s="241" t="s">
        <v>169</v>
      </c>
      <c r="C336" s="242">
        <v>20000</v>
      </c>
      <c r="D336" s="243">
        <v>0</v>
      </c>
      <c r="E336" s="243">
        <v>0</v>
      </c>
      <c r="F336" s="243">
        <f>C336*0.99</f>
        <v>19800</v>
      </c>
      <c r="G336" s="244">
        <f>C336-F336</f>
        <v>200</v>
      </c>
    </row>
    <row r="337" spans="1:11" ht="31.5" x14ac:dyDescent="0.25">
      <c r="A337" s="240" t="s">
        <v>173</v>
      </c>
      <c r="B337" s="241" t="s">
        <v>178</v>
      </c>
      <c r="C337" s="242">
        <v>100873.39939999999</v>
      </c>
      <c r="D337" s="243">
        <v>0</v>
      </c>
      <c r="E337" s="243">
        <v>0</v>
      </c>
      <c r="F337" s="243">
        <f t="shared" ref="F337:F344" si="16">C337*0.99</f>
        <v>99864.665406</v>
      </c>
      <c r="G337" s="244">
        <f t="shared" ref="G337:G352" si="17">C337-F337</f>
        <v>1008.7339939999947</v>
      </c>
    </row>
    <row r="338" spans="1:11" ht="31.5" x14ac:dyDescent="0.25">
      <c r="A338" s="240" t="s">
        <v>174</v>
      </c>
      <c r="B338" s="241" t="s">
        <v>170</v>
      </c>
      <c r="C338" s="242">
        <v>4025.1717699999999</v>
      </c>
      <c r="D338" s="243">
        <v>0</v>
      </c>
      <c r="E338" s="243">
        <v>0</v>
      </c>
      <c r="F338" s="243">
        <f t="shared" si="16"/>
        <v>3984.9200523</v>
      </c>
      <c r="G338" s="244">
        <f t="shared" si="17"/>
        <v>40.251717699999972</v>
      </c>
    </row>
    <row r="339" spans="1:11" x14ac:dyDescent="0.25">
      <c r="A339" s="240" t="s">
        <v>175</v>
      </c>
      <c r="B339" s="241" t="s">
        <v>171</v>
      </c>
      <c r="C339" s="242">
        <v>609897.42422370717</v>
      </c>
      <c r="D339" s="243">
        <v>0</v>
      </c>
      <c r="E339" s="243">
        <v>0</v>
      </c>
      <c r="F339" s="243">
        <f t="shared" si="16"/>
        <v>603798.44998147013</v>
      </c>
      <c r="G339" s="244">
        <f t="shared" si="17"/>
        <v>6098.9742422370473</v>
      </c>
    </row>
    <row r="340" spans="1:11" x14ac:dyDescent="0.25">
      <c r="A340" s="437" t="s">
        <v>46</v>
      </c>
      <c r="B340" s="325" t="s">
        <v>23</v>
      </c>
      <c r="C340" s="22">
        <f>'целевые показатели'!L28</f>
        <v>77949.494949999993</v>
      </c>
      <c r="D340" s="22">
        <v>0</v>
      </c>
      <c r="E340" s="22">
        <v>0</v>
      </c>
      <c r="F340" s="22">
        <f t="shared" si="16"/>
        <v>77170.000000499989</v>
      </c>
      <c r="G340" s="231">
        <f t="shared" si="17"/>
        <v>779.49494950000371</v>
      </c>
    </row>
    <row r="341" spans="1:11" ht="16.5" x14ac:dyDescent="0.25">
      <c r="A341" s="228" t="s">
        <v>47</v>
      </c>
      <c r="B341" s="275" t="s">
        <v>186</v>
      </c>
      <c r="C341" s="22">
        <f>'целевые показатели'!L29</f>
        <v>116193.90360000001</v>
      </c>
      <c r="D341" s="22">
        <v>0</v>
      </c>
      <c r="E341" s="22">
        <v>0</v>
      </c>
      <c r="F341" s="22">
        <f t="shared" si="16"/>
        <v>115031.96456400001</v>
      </c>
      <c r="G341" s="231">
        <f t="shared" si="17"/>
        <v>1161.9390359999961</v>
      </c>
    </row>
    <row r="342" spans="1:11" ht="31.5" x14ac:dyDescent="0.25">
      <c r="A342" s="228" t="s">
        <v>48</v>
      </c>
      <c r="B342" s="18" t="s">
        <v>24</v>
      </c>
      <c r="C342" s="22">
        <f>'целевые показатели'!L30</f>
        <v>10101.0101</v>
      </c>
      <c r="D342" s="22">
        <v>0</v>
      </c>
      <c r="E342" s="22">
        <v>0</v>
      </c>
      <c r="F342" s="22">
        <f>C342*0.99</f>
        <v>9999.9999989999997</v>
      </c>
      <c r="G342" s="231">
        <f>C343-F343</f>
        <v>50.505050499999925</v>
      </c>
    </row>
    <row r="343" spans="1:11" ht="31.5" x14ac:dyDescent="0.25">
      <c r="A343" s="228" t="s">
        <v>49</v>
      </c>
      <c r="B343" s="344" t="s">
        <v>25</v>
      </c>
      <c r="C343" s="22">
        <f>'целевые показатели'!L32</f>
        <v>5050.5050499999998</v>
      </c>
      <c r="D343" s="22">
        <v>0</v>
      </c>
      <c r="E343" s="22">
        <v>0</v>
      </c>
      <c r="F343" s="22">
        <f t="shared" si="16"/>
        <v>4999.9999994999998</v>
      </c>
      <c r="G343" s="231">
        <f t="shared" si="17"/>
        <v>50.505050499999925</v>
      </c>
      <c r="I343" s="436">
        <f>349817200/1000</f>
        <v>349817.2</v>
      </c>
      <c r="J343" s="447" t="s">
        <v>429</v>
      </c>
    </row>
    <row r="344" spans="1:11" ht="16.5" x14ac:dyDescent="0.25">
      <c r="A344" s="228" t="s">
        <v>190</v>
      </c>
      <c r="B344" s="229" t="s">
        <v>154</v>
      </c>
      <c r="C344" s="22">
        <f>'целевые показатели'!L33</f>
        <v>0</v>
      </c>
      <c r="D344" s="22">
        <v>0</v>
      </c>
      <c r="E344" s="22">
        <v>0</v>
      </c>
      <c r="F344" s="22">
        <f t="shared" si="16"/>
        <v>0</v>
      </c>
      <c r="G344" s="231">
        <f t="shared" si="17"/>
        <v>0</v>
      </c>
      <c r="I344" s="436"/>
      <c r="J344" s="447"/>
    </row>
    <row r="345" spans="1:11" ht="31.5" x14ac:dyDescent="0.25">
      <c r="A345" s="410">
        <v>2</v>
      </c>
      <c r="B345" s="321" t="s">
        <v>15</v>
      </c>
      <c r="C345" s="641">
        <f>SUM(C351:C352)</f>
        <v>1425</v>
      </c>
      <c r="D345" s="641">
        <f>SUM(D351:D352)</f>
        <v>0</v>
      </c>
      <c r="E345" s="641">
        <f>SUM(E351:E352)</f>
        <v>0</v>
      </c>
      <c r="F345" s="641">
        <f>SUM(F351:F352)</f>
        <v>0</v>
      </c>
      <c r="G345" s="642">
        <f>SUM(G351:G352)</f>
        <v>1425</v>
      </c>
      <c r="H345" s="236">
        <f>'целевые показатели'!L41</f>
        <v>1425</v>
      </c>
    </row>
    <row r="346" spans="1:11" ht="16.5" hidden="1" x14ac:dyDescent="0.25">
      <c r="A346" s="228" t="s">
        <v>159</v>
      </c>
      <c r="B346" s="229" t="e">
        <f>'целевые показатели'!#REF!</f>
        <v>#REF!</v>
      </c>
      <c r="C346" s="468">
        <f>8500+174.2772</f>
        <v>8674.2772000000004</v>
      </c>
      <c r="D346" s="22">
        <v>0</v>
      </c>
      <c r="E346" s="22">
        <v>0</v>
      </c>
      <c r="F346" s="230">
        <f t="shared" ref="F346:F351" si="18">C346*0.99</f>
        <v>8587.5344280000008</v>
      </c>
      <c r="G346" s="429">
        <f>C346-F346</f>
        <v>86.742771999999604</v>
      </c>
    </row>
    <row r="347" spans="1:11" ht="16.5" hidden="1" x14ac:dyDescent="0.25">
      <c r="A347" s="228" t="s">
        <v>160</v>
      </c>
      <c r="B347" s="489" t="s">
        <v>693</v>
      </c>
      <c r="C347" s="468">
        <f>10300</f>
        <v>10300</v>
      </c>
      <c r="D347" s="22">
        <v>0</v>
      </c>
      <c r="E347" s="22">
        <v>0</v>
      </c>
      <c r="F347" s="230">
        <f t="shared" si="18"/>
        <v>10197</v>
      </c>
      <c r="G347" s="429">
        <f>C347-F347</f>
        <v>103</v>
      </c>
    </row>
    <row r="348" spans="1:11" ht="16.5" hidden="1" x14ac:dyDescent="0.25">
      <c r="A348" s="228" t="s">
        <v>161</v>
      </c>
      <c r="B348" s="489" t="s">
        <v>694</v>
      </c>
      <c r="C348" s="468">
        <v>8500</v>
      </c>
      <c r="D348" s="22">
        <v>0</v>
      </c>
      <c r="E348" s="22">
        <v>0</v>
      </c>
      <c r="F348" s="230">
        <f t="shared" si="18"/>
        <v>8415</v>
      </c>
      <c r="G348" s="429">
        <f>C348-F348</f>
        <v>85</v>
      </c>
    </row>
    <row r="349" spans="1:11" ht="16.5" hidden="1" x14ac:dyDescent="0.25">
      <c r="A349" s="228" t="s">
        <v>162</v>
      </c>
      <c r="B349" s="493" t="s">
        <v>710</v>
      </c>
      <c r="C349" s="468">
        <f>20041.45395+800.22982+12953.87347</f>
        <v>33795.557240000002</v>
      </c>
      <c r="D349" s="230">
        <v>0</v>
      </c>
      <c r="E349" s="230">
        <v>0</v>
      </c>
      <c r="F349" s="22">
        <f t="shared" si="18"/>
        <v>33457.6016676</v>
      </c>
      <c r="G349" s="231">
        <f>C349-F349</f>
        <v>337.95557240000198</v>
      </c>
    </row>
    <row r="350" spans="1:11" ht="33" hidden="1" x14ac:dyDescent="0.25">
      <c r="A350" s="228" t="s">
        <v>447</v>
      </c>
      <c r="B350" s="217" t="s">
        <v>804</v>
      </c>
      <c r="C350" s="468">
        <v>10275.92395</v>
      </c>
      <c r="D350" s="230">
        <v>0</v>
      </c>
      <c r="E350" s="230">
        <v>0</v>
      </c>
      <c r="F350" s="22">
        <f t="shared" si="18"/>
        <v>10173.164710500001</v>
      </c>
      <c r="G350" s="231">
        <f>C350-F350</f>
        <v>102.75923949999924</v>
      </c>
    </row>
    <row r="351" spans="1:11" hidden="1" x14ac:dyDescent="0.25">
      <c r="A351" s="228" t="s">
        <v>163</v>
      </c>
      <c r="B351" s="18" t="s">
        <v>26</v>
      </c>
      <c r="C351" s="22">
        <f>'целевые показатели'!L130</f>
        <v>0</v>
      </c>
      <c r="D351" s="22">
        <v>0</v>
      </c>
      <c r="E351" s="22">
        <v>0</v>
      </c>
      <c r="F351" s="230">
        <f t="shared" si="18"/>
        <v>0</v>
      </c>
      <c r="G351" s="231">
        <f t="shared" si="17"/>
        <v>0</v>
      </c>
      <c r="K351" s="448"/>
    </row>
    <row r="352" spans="1:11" ht="31.5" x14ac:dyDescent="0.25">
      <c r="A352" s="228" t="s">
        <v>159</v>
      </c>
      <c r="B352" s="18" t="s">
        <v>27</v>
      </c>
      <c r="C352" s="22">
        <f>'целевые показатели'!L131</f>
        <v>1425</v>
      </c>
      <c r="D352" s="22">
        <v>0</v>
      </c>
      <c r="E352" s="22">
        <v>0</v>
      </c>
      <c r="F352" s="22">
        <v>0</v>
      </c>
      <c r="G352" s="231">
        <f t="shared" si="17"/>
        <v>1425</v>
      </c>
    </row>
    <row r="353" spans="1:10" ht="94.5" x14ac:dyDescent="0.25">
      <c r="A353" s="410">
        <v>3</v>
      </c>
      <c r="B353" s="321" t="s">
        <v>436</v>
      </c>
      <c r="C353" s="643">
        <f>SUM(C354:C356)</f>
        <v>306061.30303000001</v>
      </c>
      <c r="D353" s="643">
        <f>SUM(D354:D356)</f>
        <v>0</v>
      </c>
      <c r="E353" s="643">
        <f>SUM(E354:E356)</f>
        <v>0</v>
      </c>
      <c r="F353" s="643">
        <f>SUM(F354:F356)</f>
        <v>299999.9999997</v>
      </c>
      <c r="G353" s="644">
        <f>SUM(G354:G356)</f>
        <v>6061.3030303000123</v>
      </c>
      <c r="H353" s="236">
        <f>'целевые показатели'!L139</f>
        <v>306061.30303000001</v>
      </c>
    </row>
    <row r="354" spans="1:10" ht="33" x14ac:dyDescent="0.25">
      <c r="A354" s="228" t="s">
        <v>68</v>
      </c>
      <c r="B354" s="275" t="s">
        <v>895</v>
      </c>
      <c r="C354" s="22">
        <f>'целевые показатели'!L158</f>
        <v>303030.30303000001</v>
      </c>
      <c r="D354" s="22">
        <v>0</v>
      </c>
      <c r="E354" s="22">
        <v>0</v>
      </c>
      <c r="F354" s="22">
        <f>C354*0.99</f>
        <v>299999.9999997</v>
      </c>
      <c r="G354" s="231">
        <f>C354-F354</f>
        <v>3030.3030303000123</v>
      </c>
    </row>
    <row r="355" spans="1:10" x14ac:dyDescent="0.25">
      <c r="A355" s="228" t="s">
        <v>71</v>
      </c>
      <c r="B355" s="18" t="s">
        <v>26</v>
      </c>
      <c r="C355" s="22">
        <v>0</v>
      </c>
      <c r="D355" s="22">
        <v>0</v>
      </c>
      <c r="E355" s="22">
        <v>0</v>
      </c>
      <c r="F355" s="22">
        <f>C355*0.99</f>
        <v>0</v>
      </c>
      <c r="G355" s="231">
        <f>C355-F355</f>
        <v>0</v>
      </c>
    </row>
    <row r="356" spans="1:10" ht="33" x14ac:dyDescent="0.25">
      <c r="A356" s="228" t="s">
        <v>72</v>
      </c>
      <c r="B356" s="229" t="s">
        <v>27</v>
      </c>
      <c r="C356" s="22">
        <f>'целевые показатели'!L160</f>
        <v>3031</v>
      </c>
      <c r="D356" s="22">
        <v>0</v>
      </c>
      <c r="E356" s="22">
        <v>0</v>
      </c>
      <c r="F356" s="22">
        <v>0</v>
      </c>
      <c r="G356" s="231">
        <f>C356-F356</f>
        <v>3031</v>
      </c>
      <c r="H356" s="238" t="s">
        <v>158</v>
      </c>
    </row>
    <row r="357" spans="1:10" ht="49.5" x14ac:dyDescent="0.25">
      <c r="A357" s="228">
        <v>4</v>
      </c>
      <c r="B357" s="398" t="s">
        <v>13</v>
      </c>
      <c r="C357" s="313">
        <f>SUM(C358:C360)</f>
        <v>2200</v>
      </c>
      <c r="D357" s="313">
        <f>SUM(D358:D360)</f>
        <v>0</v>
      </c>
      <c r="E357" s="313">
        <f>SUM(E358:E360)</f>
        <v>0</v>
      </c>
      <c r="F357" s="313">
        <f>SUM(F358:F360)</f>
        <v>0</v>
      </c>
      <c r="G357" s="411">
        <f>SUM(G358:G360)</f>
        <v>2200</v>
      </c>
      <c r="H357" s="236">
        <f>'целевые показатели'!L169</f>
        <v>2200</v>
      </c>
    </row>
    <row r="358" spans="1:10" ht="33" x14ac:dyDescent="0.25">
      <c r="A358" s="228" t="s">
        <v>384</v>
      </c>
      <c r="B358" s="229" t="s">
        <v>146</v>
      </c>
      <c r="C358" s="22">
        <f>'целевые показатели'!L172</f>
        <v>150</v>
      </c>
      <c r="D358" s="22">
        <v>0</v>
      </c>
      <c r="E358" s="22">
        <v>0</v>
      </c>
      <c r="F358" s="22">
        <v>0</v>
      </c>
      <c r="G358" s="231">
        <f>C358-F358</f>
        <v>150</v>
      </c>
      <c r="H358" s="238" t="s">
        <v>158</v>
      </c>
    </row>
    <row r="359" spans="1:10" ht="33" x14ac:dyDescent="0.25">
      <c r="A359" s="228" t="s">
        <v>423</v>
      </c>
      <c r="B359" s="229" t="s">
        <v>147</v>
      </c>
      <c r="C359" s="22">
        <f>'целевые показатели'!L173</f>
        <v>150</v>
      </c>
      <c r="D359" s="22">
        <v>0</v>
      </c>
      <c r="E359" s="22">
        <v>0</v>
      </c>
      <c r="F359" s="22">
        <v>0</v>
      </c>
      <c r="G359" s="231">
        <f>C359-F359</f>
        <v>150</v>
      </c>
      <c r="H359" s="238" t="s">
        <v>158</v>
      </c>
    </row>
    <row r="360" spans="1:10" ht="16.5" x14ac:dyDescent="0.25">
      <c r="A360" s="228" t="s">
        <v>424</v>
      </c>
      <c r="B360" s="229" t="s">
        <v>322</v>
      </c>
      <c r="C360" s="22">
        <f>'целевые показатели'!L195</f>
        <v>1900</v>
      </c>
      <c r="D360" s="22">
        <v>0</v>
      </c>
      <c r="E360" s="22">
        <v>0</v>
      </c>
      <c r="F360" s="22">
        <v>0</v>
      </c>
      <c r="G360" s="231">
        <f>C360-F360</f>
        <v>1900</v>
      </c>
      <c r="H360" s="238" t="s">
        <v>158</v>
      </c>
    </row>
    <row r="361" spans="1:10" ht="110.25" x14ac:dyDescent="0.25">
      <c r="A361" s="410">
        <v>5</v>
      </c>
      <c r="B361" s="394" t="s">
        <v>437</v>
      </c>
      <c r="C361" s="313">
        <f>'целевые показатели'!L205</f>
        <v>23780.909100000001</v>
      </c>
      <c r="D361" s="313">
        <f>'целевые показатели'!L209</f>
        <v>23307.7</v>
      </c>
      <c r="E361" s="313">
        <v>0</v>
      </c>
      <c r="F361" s="313">
        <f>'целевые показатели'!L210</f>
        <v>235.4</v>
      </c>
      <c r="G361" s="411">
        <f>'целевые показатели'!L211</f>
        <v>237.8091</v>
      </c>
      <c r="H361" s="238">
        <f>'целевые показатели'!L205</f>
        <v>23780.909100000001</v>
      </c>
    </row>
    <row r="362" spans="1:10" ht="66" x14ac:dyDescent="0.25">
      <c r="A362" s="228">
        <v>6</v>
      </c>
      <c r="B362" s="398" t="s">
        <v>11</v>
      </c>
      <c r="C362" s="313">
        <f>SUM(C363)</f>
        <v>25350</v>
      </c>
      <c r="D362" s="313">
        <f>SUM(D363)</f>
        <v>0</v>
      </c>
      <c r="E362" s="313">
        <f>SUM(E363)</f>
        <v>0</v>
      </c>
      <c r="F362" s="313">
        <f>SUM(F363)</f>
        <v>0</v>
      </c>
      <c r="G362" s="411">
        <f>SUM(G363)</f>
        <v>25350</v>
      </c>
      <c r="H362" s="238"/>
    </row>
    <row r="363" spans="1:10" ht="33" x14ac:dyDescent="0.25">
      <c r="A363" s="228" t="s">
        <v>188</v>
      </c>
      <c r="B363" s="229" t="s">
        <v>250</v>
      </c>
      <c r="C363" s="22">
        <f>'целевые показатели'!L222</f>
        <v>25350</v>
      </c>
      <c r="D363" s="22">
        <v>0</v>
      </c>
      <c r="E363" s="22">
        <v>0</v>
      </c>
      <c r="F363" s="22">
        <v>0</v>
      </c>
      <c r="G363" s="231">
        <f>'целевые показатели'!L230</f>
        <v>25350</v>
      </c>
      <c r="H363" s="238">
        <f>'целевые показатели'!L214</f>
        <v>25350</v>
      </c>
    </row>
    <row r="364" spans="1:10" ht="33" x14ac:dyDescent="0.25">
      <c r="A364" s="410">
        <v>7</v>
      </c>
      <c r="B364" s="398" t="s">
        <v>295</v>
      </c>
      <c r="C364" s="644">
        <f t="shared" ref="C364:F364" si="19">SUM(C365:C434)</f>
        <v>827698.72707082494</v>
      </c>
      <c r="D364" s="644">
        <f t="shared" si="19"/>
        <v>0</v>
      </c>
      <c r="E364" s="644">
        <f t="shared" si="19"/>
        <v>0</v>
      </c>
      <c r="F364" s="644">
        <f t="shared" si="19"/>
        <v>399119.20000311674</v>
      </c>
      <c r="G364" s="644">
        <f>SUM(G365:G434)</f>
        <v>428579.52710770827</v>
      </c>
      <c r="I364" s="245">
        <f>349817200/1000</f>
        <v>349817.2</v>
      </c>
      <c r="J364" s="174" t="s">
        <v>429</v>
      </c>
    </row>
    <row r="365" spans="1:10" ht="16.5" x14ac:dyDescent="0.25">
      <c r="A365" s="410"/>
      <c r="B365" s="647" t="s">
        <v>894</v>
      </c>
      <c r="C365" s="172">
        <v>18500</v>
      </c>
      <c r="D365" s="172">
        <v>0</v>
      </c>
      <c r="E365" s="172">
        <v>0</v>
      </c>
      <c r="F365" s="172">
        <v>0</v>
      </c>
      <c r="G365" s="635">
        <f>C365</f>
        <v>18500</v>
      </c>
      <c r="I365" s="245"/>
      <c r="J365" s="174"/>
    </row>
    <row r="366" spans="1:10" ht="16.5" x14ac:dyDescent="0.25">
      <c r="A366" s="410"/>
      <c r="B366" s="647" t="s">
        <v>893</v>
      </c>
      <c r="C366" s="172">
        <v>48900</v>
      </c>
      <c r="D366" s="172">
        <v>0</v>
      </c>
      <c r="E366" s="172">
        <v>0</v>
      </c>
      <c r="F366" s="172">
        <v>0</v>
      </c>
      <c r="G366" s="635">
        <f t="shared" ref="G366:G368" si="20">C366</f>
        <v>48900</v>
      </c>
      <c r="I366" s="245"/>
      <c r="J366" s="174"/>
    </row>
    <row r="367" spans="1:10" ht="16.5" x14ac:dyDescent="0.25">
      <c r="A367" s="410"/>
      <c r="B367" s="647" t="s">
        <v>892</v>
      </c>
      <c r="C367" s="172">
        <v>23500</v>
      </c>
      <c r="D367" s="172">
        <v>0</v>
      </c>
      <c r="E367" s="172">
        <v>0</v>
      </c>
      <c r="F367" s="172">
        <v>0</v>
      </c>
      <c r="G367" s="635">
        <f t="shared" si="20"/>
        <v>23500</v>
      </c>
      <c r="I367" s="245"/>
      <c r="J367" s="174"/>
    </row>
    <row r="368" spans="1:10" ht="16.5" x14ac:dyDescent="0.25">
      <c r="A368" s="410"/>
      <c r="B368" s="491" t="s">
        <v>891</v>
      </c>
      <c r="C368" s="172">
        <v>8500</v>
      </c>
      <c r="D368" s="172">
        <v>0</v>
      </c>
      <c r="E368" s="172">
        <v>0</v>
      </c>
      <c r="F368" s="172">
        <v>0</v>
      </c>
      <c r="G368" s="635">
        <f t="shared" si="20"/>
        <v>8500</v>
      </c>
      <c r="I368" s="245"/>
      <c r="J368" s="174"/>
    </row>
    <row r="369" spans="1:10" ht="16.5" x14ac:dyDescent="0.25">
      <c r="A369" s="410"/>
      <c r="B369" s="491" t="s">
        <v>886</v>
      </c>
      <c r="C369" s="172">
        <v>22000</v>
      </c>
      <c r="D369" s="172">
        <f t="shared" ref="D369:E371" si="21">SUM(D374:D435)</f>
        <v>0</v>
      </c>
      <c r="E369" s="172">
        <f t="shared" si="21"/>
        <v>0</v>
      </c>
      <c r="F369" s="172">
        <v>0</v>
      </c>
      <c r="G369" s="635">
        <f>C369</f>
        <v>22000</v>
      </c>
      <c r="I369" s="245"/>
      <c r="J369" s="174"/>
    </row>
    <row r="370" spans="1:10" ht="16.5" x14ac:dyDescent="0.25">
      <c r="A370" s="410"/>
      <c r="B370" s="491" t="s">
        <v>887</v>
      </c>
      <c r="C370" s="172">
        <v>21000</v>
      </c>
      <c r="D370" s="172">
        <f t="shared" si="21"/>
        <v>0</v>
      </c>
      <c r="E370" s="172">
        <f t="shared" si="21"/>
        <v>0</v>
      </c>
      <c r="F370" s="172">
        <v>0</v>
      </c>
      <c r="G370" s="635">
        <f>C370</f>
        <v>21000</v>
      </c>
      <c r="I370" s="245"/>
      <c r="J370" s="174"/>
    </row>
    <row r="371" spans="1:10" ht="16.5" x14ac:dyDescent="0.25">
      <c r="A371" s="410"/>
      <c r="B371" s="491" t="s">
        <v>888</v>
      </c>
      <c r="C371" s="172">
        <v>35000</v>
      </c>
      <c r="D371" s="172">
        <f t="shared" si="21"/>
        <v>0</v>
      </c>
      <c r="E371" s="172">
        <f t="shared" si="21"/>
        <v>0</v>
      </c>
      <c r="F371" s="172">
        <v>0</v>
      </c>
      <c r="G371" s="635">
        <f>C371</f>
        <v>35000</v>
      </c>
      <c r="I371" s="245"/>
      <c r="J371" s="174"/>
    </row>
    <row r="372" spans="1:10" ht="16.5" x14ac:dyDescent="0.25">
      <c r="A372" s="410"/>
      <c r="B372" s="491" t="s">
        <v>644</v>
      </c>
      <c r="C372" s="172">
        <v>49800</v>
      </c>
      <c r="D372" s="22">
        <v>0</v>
      </c>
      <c r="E372" s="22">
        <v>0</v>
      </c>
      <c r="F372" s="22">
        <f t="shared" ref="F372" si="22">C372*0.99</f>
        <v>49302</v>
      </c>
      <c r="G372" s="231">
        <f t="shared" ref="G372" si="23">C372-F372</f>
        <v>498</v>
      </c>
      <c r="I372" s="245"/>
      <c r="J372" s="174"/>
    </row>
    <row r="373" spans="1:10" ht="132" x14ac:dyDescent="0.25">
      <c r="A373" s="494" t="s">
        <v>821</v>
      </c>
      <c r="B373" s="491" t="s">
        <v>813</v>
      </c>
      <c r="C373" s="327">
        <f>93054.01+82004.50589+11049.50411</f>
        <v>186108.02</v>
      </c>
      <c r="D373" s="327">
        <v>0</v>
      </c>
      <c r="E373" s="327">
        <v>0</v>
      </c>
      <c r="F373" s="327">
        <v>0</v>
      </c>
      <c r="G373" s="328">
        <f>C373-F373</f>
        <v>186108.02</v>
      </c>
      <c r="I373" s="245"/>
      <c r="J373" s="630"/>
    </row>
    <row r="374" spans="1:10" ht="49.5" x14ac:dyDescent="0.25">
      <c r="A374" s="494" t="s">
        <v>822</v>
      </c>
      <c r="B374" s="628" t="s">
        <v>882</v>
      </c>
      <c r="C374" s="477">
        <v>26320</v>
      </c>
      <c r="D374" s="634">
        <v>0</v>
      </c>
      <c r="E374" s="634">
        <v>0</v>
      </c>
      <c r="F374" s="172">
        <v>0</v>
      </c>
      <c r="G374" s="635">
        <f>C374-F374</f>
        <v>26320</v>
      </c>
      <c r="I374" s="245"/>
      <c r="J374" s="630"/>
    </row>
    <row r="375" spans="1:10" ht="16.5" x14ac:dyDescent="0.25">
      <c r="A375" s="494" t="s">
        <v>823</v>
      </c>
      <c r="B375" s="628" t="s">
        <v>883</v>
      </c>
      <c r="C375" s="477">
        <v>50290.852019999998</v>
      </c>
      <c r="D375" s="634">
        <v>0</v>
      </c>
      <c r="E375" s="634">
        <v>0</v>
      </c>
      <c r="F375" s="172">
        <f>C375*0.99</f>
        <v>49787.9434998</v>
      </c>
      <c r="G375" s="635">
        <f>C375-F375</f>
        <v>502.90852019999875</v>
      </c>
      <c r="I375" s="245"/>
      <c r="J375" s="630"/>
    </row>
    <row r="376" spans="1:10" ht="82.5" x14ac:dyDescent="0.25">
      <c r="A376" s="494" t="s">
        <v>824</v>
      </c>
      <c r="B376" s="628" t="s">
        <v>815</v>
      </c>
      <c r="C376" s="477">
        <f>69440/2</f>
        <v>34720</v>
      </c>
      <c r="D376" s="634">
        <v>0</v>
      </c>
      <c r="E376" s="634">
        <v>0</v>
      </c>
      <c r="F376" s="172">
        <v>0</v>
      </c>
      <c r="G376" s="635">
        <f t="shared" ref="G376" si="24">C376-F376</f>
        <v>34720</v>
      </c>
      <c r="I376" s="245"/>
      <c r="J376" s="630"/>
    </row>
    <row r="377" spans="1:10" ht="33" x14ac:dyDescent="0.25">
      <c r="A377" s="494" t="s">
        <v>825</v>
      </c>
      <c r="B377" s="491" t="str">
        <f>'целевые показатели'!B328</f>
        <v>Капитальный ремонт автомобильных дорог города Орла на улицах частной жилой застройки: пер. Кировский</v>
      </c>
      <c r="C377" s="22">
        <f>'по МК 56'!E74/1000</f>
        <v>2545.46108</v>
      </c>
      <c r="D377" s="22">
        <v>0</v>
      </c>
      <c r="E377" s="22">
        <v>0</v>
      </c>
      <c r="F377" s="22">
        <f>C377*0.99</f>
        <v>2520.0064692000001</v>
      </c>
      <c r="G377" s="231">
        <f t="shared" ref="G377:G434" si="25">C377-F377</f>
        <v>25.454610799999955</v>
      </c>
      <c r="I377" s="236" t="e">
        <f>#REF!/99*100</f>
        <v>#REF!</v>
      </c>
      <c r="J377" s="174"/>
    </row>
    <row r="378" spans="1:10" ht="33" x14ac:dyDescent="0.25">
      <c r="A378" s="494" t="s">
        <v>826</v>
      </c>
      <c r="B378" s="491" t="str">
        <f>'целевые показатели'!B329</f>
        <v>Капитальный ремонт автомобильных дорог города Орла на улицах частной жилой застройки: ул. Контактная</v>
      </c>
      <c r="C378" s="22">
        <f>'по МК 56'!E75/1000</f>
        <v>4245.7534599999999</v>
      </c>
      <c r="D378" s="22">
        <v>0</v>
      </c>
      <c r="E378" s="22">
        <v>0</v>
      </c>
      <c r="F378" s="22">
        <f t="shared" ref="F378:F434" si="26">C378*0.99</f>
        <v>4203.2959253999998</v>
      </c>
      <c r="G378" s="231">
        <f t="shared" si="25"/>
        <v>42.457534600000145</v>
      </c>
    </row>
    <row r="379" spans="1:10" ht="33" x14ac:dyDescent="0.25">
      <c r="A379" s="494" t="s">
        <v>827</v>
      </c>
      <c r="B379" s="229" t="str">
        <f>'целевые показатели'!B330</f>
        <v>Капитальный ремонт автомобильных дорог города Орла на улицах частной жилой застройки: пер. Тепловозный</v>
      </c>
      <c r="C379" s="22">
        <f>'целевые показатели'!L330</f>
        <v>1625.6974203</v>
      </c>
      <c r="D379" s="22">
        <v>0</v>
      </c>
      <c r="E379" s="22">
        <v>0</v>
      </c>
      <c r="F379" s="22">
        <f t="shared" si="26"/>
        <v>1609.4404460969999</v>
      </c>
      <c r="G379" s="231">
        <f t="shared" si="25"/>
        <v>16.256974203000027</v>
      </c>
    </row>
    <row r="380" spans="1:10" ht="33" x14ac:dyDescent="0.25">
      <c r="A380" s="494" t="s">
        <v>828</v>
      </c>
      <c r="B380" s="229" t="str">
        <f>'целевые показатели'!B331</f>
        <v>Капитальный ремонт автомобильных дорог города Орла на улицах частной жилой застройки: ул. Полтавская</v>
      </c>
      <c r="C380" s="22">
        <f>'целевые показатели'!L331</f>
        <v>1515.2131295999998</v>
      </c>
      <c r="D380" s="22">
        <v>0</v>
      </c>
      <c r="E380" s="22">
        <v>0</v>
      </c>
      <c r="F380" s="22">
        <f t="shared" si="26"/>
        <v>1500.0609983039997</v>
      </c>
      <c r="G380" s="231">
        <f t="shared" si="25"/>
        <v>15.152131296000107</v>
      </c>
    </row>
    <row r="381" spans="1:10" ht="33" x14ac:dyDescent="0.25">
      <c r="A381" s="494" t="s">
        <v>829</v>
      </c>
      <c r="B381" s="229" t="str">
        <f>'целевые показатели'!B332</f>
        <v>Капитальный ремонт автомобильных дорог города Орла на улицах частной жилой застройки: ул. Андриабужная</v>
      </c>
      <c r="C381" s="22">
        <f>'целевые показатели'!L332</f>
        <v>13415.949584999998</v>
      </c>
      <c r="D381" s="22">
        <v>0</v>
      </c>
      <c r="E381" s="22">
        <v>0</v>
      </c>
      <c r="F381" s="22">
        <f t="shared" si="26"/>
        <v>13281.790089149998</v>
      </c>
      <c r="G381" s="231">
        <f t="shared" si="25"/>
        <v>134.15949585000089</v>
      </c>
    </row>
    <row r="382" spans="1:10" ht="33" x14ac:dyDescent="0.25">
      <c r="A382" s="494" t="s">
        <v>830</v>
      </c>
      <c r="B382" s="229" t="str">
        <f>'целевые показатели'!B333</f>
        <v>Капитальный ремонт автомобильных дорог города Орла на улицах частной жилой застройки: пер. Самарский</v>
      </c>
      <c r="C382" s="22">
        <f>'целевые показатели'!L333</f>
        <v>1452.0792492</v>
      </c>
      <c r="D382" s="22">
        <v>0</v>
      </c>
      <c r="E382" s="22">
        <v>0</v>
      </c>
      <c r="F382" s="22">
        <f t="shared" si="26"/>
        <v>1437.558456708</v>
      </c>
      <c r="G382" s="231">
        <f t="shared" si="25"/>
        <v>14.520792492000055</v>
      </c>
    </row>
    <row r="383" spans="1:10" ht="33" x14ac:dyDescent="0.25">
      <c r="A383" s="494" t="s">
        <v>831</v>
      </c>
      <c r="B383" s="229" t="str">
        <f>'целевые показатели'!B334</f>
        <v>Капитальный ремонт автомобильных дорог города Орла на улицах частной жилой застройки: ул. Пришвина</v>
      </c>
      <c r="C383" s="22">
        <f>'целевые показатели'!L334</f>
        <v>2817.3494128500001</v>
      </c>
      <c r="D383" s="22">
        <v>0</v>
      </c>
      <c r="E383" s="22">
        <v>0</v>
      </c>
      <c r="F383" s="22">
        <f t="shared" si="26"/>
        <v>2789.1759187215002</v>
      </c>
      <c r="G383" s="231">
        <f t="shared" si="25"/>
        <v>28.173494128499897</v>
      </c>
    </row>
    <row r="384" spans="1:10" ht="33" x14ac:dyDescent="0.25">
      <c r="A384" s="494" t="s">
        <v>832</v>
      </c>
      <c r="B384" s="229" t="str">
        <f>'целевые показатели'!B335</f>
        <v>Капитальный ремонт автомобильных дорог города Орла на улицах частной жилой застройки: ул. Электровозная</v>
      </c>
      <c r="C384" s="22">
        <f>'целевые показатели'!L335</f>
        <v>6723.7582626000003</v>
      </c>
      <c r="D384" s="22">
        <v>0</v>
      </c>
      <c r="E384" s="22">
        <v>0</v>
      </c>
      <c r="F384" s="22">
        <f t="shared" si="26"/>
        <v>6656.5206799739999</v>
      </c>
      <c r="G384" s="231">
        <f t="shared" si="25"/>
        <v>67.237582626000403</v>
      </c>
    </row>
    <row r="385" spans="1:7" ht="33" x14ac:dyDescent="0.25">
      <c r="A385" s="494" t="s">
        <v>833</v>
      </c>
      <c r="B385" s="229" t="str">
        <f>'целевые показатели'!B336</f>
        <v>Капитальный ремонт автомобильных дорог города Орла на улицах частной жилой застройки: туп. Медведевский</v>
      </c>
      <c r="C385" s="22">
        <f>'целевые показатели'!L336</f>
        <v>1744.0734260499999</v>
      </c>
      <c r="D385" s="22">
        <v>0</v>
      </c>
      <c r="E385" s="22">
        <v>0</v>
      </c>
      <c r="F385" s="22">
        <f>C385*0.99+0.00001</f>
        <v>1726.6327017894998</v>
      </c>
      <c r="G385" s="231">
        <f>C385-F385+0.00001</f>
        <v>17.440734260500019</v>
      </c>
    </row>
    <row r="386" spans="1:7" ht="33" x14ac:dyDescent="0.25">
      <c r="A386" s="494" t="s">
        <v>834</v>
      </c>
      <c r="B386" s="229" t="str">
        <f>'целевые показатели'!B337</f>
        <v>Капитальный ремонт автомобильных дорог города Орла на улицах частной жилой застройки: пер. Торцовый</v>
      </c>
      <c r="C386" s="22">
        <f>'целевые показатели'!L337</f>
        <v>2328.0618397499998</v>
      </c>
      <c r="D386" s="22">
        <v>0</v>
      </c>
      <c r="E386" s="22">
        <v>0</v>
      </c>
      <c r="F386" s="22">
        <f t="shared" si="26"/>
        <v>2304.7812213524999</v>
      </c>
      <c r="G386" s="231">
        <f t="shared" si="25"/>
        <v>23.280618397499893</v>
      </c>
    </row>
    <row r="387" spans="1:7" ht="33" x14ac:dyDescent="0.25">
      <c r="A387" s="494" t="s">
        <v>835</v>
      </c>
      <c r="B387" s="229" t="str">
        <f>'целевые показатели'!B338</f>
        <v>Капитальный ремонт автомобильных дорог города Орла на улицах частной жилой застройки: пер. Шахматный</v>
      </c>
      <c r="C387" s="22">
        <f>'целевые показатели'!L338</f>
        <v>1815.0990614999998</v>
      </c>
      <c r="D387" s="22">
        <v>0</v>
      </c>
      <c r="E387" s="22">
        <v>0</v>
      </c>
      <c r="F387" s="22">
        <f t="shared" si="26"/>
        <v>1796.9480708849999</v>
      </c>
      <c r="G387" s="231">
        <f t="shared" si="25"/>
        <v>18.150990614999955</v>
      </c>
    </row>
    <row r="388" spans="1:7" ht="33" x14ac:dyDescent="0.25">
      <c r="A388" s="494" t="s">
        <v>836</v>
      </c>
      <c r="B388" s="229" t="str">
        <f>'целевые показатели'!B339</f>
        <v>Капитальный ремонт автомобильных дорог города Орла на улицах частной жилой застройки: проезд Парковый</v>
      </c>
      <c r="C388" s="22">
        <f>'целевые показатели'!L339</f>
        <v>1972.9337625000001</v>
      </c>
      <c r="D388" s="22">
        <v>0</v>
      </c>
      <c r="E388" s="22">
        <v>0</v>
      </c>
      <c r="F388" s="22">
        <f t="shared" si="26"/>
        <v>1953.2044248750001</v>
      </c>
      <c r="G388" s="231">
        <f t="shared" si="25"/>
        <v>19.729337624999971</v>
      </c>
    </row>
    <row r="389" spans="1:7" ht="33" x14ac:dyDescent="0.25">
      <c r="A389" s="494" t="s">
        <v>837</v>
      </c>
      <c r="B389" s="229" t="str">
        <f>'целевые показатели'!B340</f>
        <v>Капитальный ремонт автомобильных дорог города Орла на улицах частной жилой застройки: пер. Прядильный</v>
      </c>
      <c r="C389" s="22">
        <f>'целевые показатели'!L340</f>
        <v>1530.9965996999999</v>
      </c>
      <c r="D389" s="22">
        <v>0</v>
      </c>
      <c r="E389" s="22">
        <v>0</v>
      </c>
      <c r="F389" s="22">
        <f t="shared" si="26"/>
        <v>1515.6866337029999</v>
      </c>
      <c r="G389" s="231">
        <f t="shared" si="25"/>
        <v>15.309965997000063</v>
      </c>
    </row>
    <row r="390" spans="1:7" ht="33" x14ac:dyDescent="0.25">
      <c r="A390" s="494" t="s">
        <v>838</v>
      </c>
      <c r="B390" s="229" t="str">
        <f>'целевые показатели'!B341</f>
        <v>Капитальный ремонт автомобильных дорог города Орла на улицах частной жилой застройки: пер. Локомотивный</v>
      </c>
      <c r="C390" s="22">
        <f>'целевые показатели'!L341</f>
        <v>2391.1957201499999</v>
      </c>
      <c r="D390" s="22">
        <v>0</v>
      </c>
      <c r="E390" s="22">
        <v>0</v>
      </c>
      <c r="F390" s="22">
        <f t="shared" si="26"/>
        <v>2367.2837629484998</v>
      </c>
      <c r="G390" s="231">
        <f t="shared" si="25"/>
        <v>23.911957201500172</v>
      </c>
    </row>
    <row r="391" spans="1:7" ht="33" x14ac:dyDescent="0.25">
      <c r="A391" s="494" t="s">
        <v>839</v>
      </c>
      <c r="B391" s="229" t="str">
        <f>'целевые показатели'!B342</f>
        <v>Капитальный ремонт автомобильных дорог города Орла на улицах частной жилой застройки: пер. Вагонный</v>
      </c>
      <c r="C391" s="22">
        <f>'целевые показатели'!L342</f>
        <v>1412.6206039499998</v>
      </c>
      <c r="D391" s="22">
        <v>0</v>
      </c>
      <c r="E391" s="22">
        <v>0</v>
      </c>
      <c r="F391" s="22">
        <f>C391*0.99-0.00001</f>
        <v>1398.4943879104999</v>
      </c>
      <c r="G391" s="231">
        <f>C391-F391-0.00001</f>
        <v>14.126206039499923</v>
      </c>
    </row>
    <row r="392" spans="1:7" ht="33" x14ac:dyDescent="0.25">
      <c r="A392" s="494" t="s">
        <v>840</v>
      </c>
      <c r="B392" s="229" t="str">
        <f>'целевые показатели'!B343</f>
        <v>Капитальный ремонт автомобильных дорог города Орла на улицах частной жилой застройки: пер. Бригадный</v>
      </c>
      <c r="C392" s="22">
        <f>'целевые показатели'!L343</f>
        <v>1680.9395656500001</v>
      </c>
      <c r="D392" s="22">
        <v>0</v>
      </c>
      <c r="E392" s="22">
        <v>0</v>
      </c>
      <c r="F392" s="22">
        <f t="shared" si="26"/>
        <v>1664.1301699935</v>
      </c>
      <c r="G392" s="231">
        <f t="shared" si="25"/>
        <v>16.809395656500101</v>
      </c>
    </row>
    <row r="393" spans="1:7" ht="33" x14ac:dyDescent="0.25">
      <c r="A393" s="494" t="s">
        <v>841</v>
      </c>
      <c r="B393" s="229" t="str">
        <f>'целевые показатели'!B344</f>
        <v>Капитальный ремонт автомобильных дорог города Орла на улицах частной жилой застройки: пер. Хлебный</v>
      </c>
      <c r="C393" s="22">
        <f>'целевые показатели'!L344</f>
        <v>3961.6509950999994</v>
      </c>
      <c r="D393" s="22">
        <v>0</v>
      </c>
      <c r="E393" s="22">
        <v>0</v>
      </c>
      <c r="F393" s="22">
        <f t="shared" si="26"/>
        <v>3922.0344851489995</v>
      </c>
      <c r="G393" s="231">
        <f t="shared" si="25"/>
        <v>39.616509950999898</v>
      </c>
    </row>
    <row r="394" spans="1:7" ht="33" x14ac:dyDescent="0.25">
      <c r="A394" s="494" t="s">
        <v>842</v>
      </c>
      <c r="B394" s="229" t="str">
        <f>'целевые показатели'!B345</f>
        <v>Капитальный ремонт автомобильных дорог города Орла на улицах частной жилой застройки: пер. Тупиковый</v>
      </c>
      <c r="C394" s="22">
        <f>'целевые показатели'!L345</f>
        <v>1388.9453688000001</v>
      </c>
      <c r="D394" s="22">
        <v>0</v>
      </c>
      <c r="E394" s="22">
        <v>0</v>
      </c>
      <c r="F394" s="22">
        <f t="shared" si="26"/>
        <v>1375.0559151120001</v>
      </c>
      <c r="G394" s="231">
        <f t="shared" si="25"/>
        <v>13.889453688000003</v>
      </c>
    </row>
    <row r="395" spans="1:7" ht="33" x14ac:dyDescent="0.25">
      <c r="A395" s="494" t="s">
        <v>843</v>
      </c>
      <c r="B395" s="229" t="str">
        <f>'целевые показатели'!B346</f>
        <v xml:space="preserve">Капитальный ремонт автомобильных дорог города Орла на улицах частной жилой застройки: ул. Медведева </v>
      </c>
      <c r="C395" s="22">
        <f>'целевые показатели'!L346</f>
        <v>8704.5837601499989</v>
      </c>
      <c r="D395" s="22">
        <v>0</v>
      </c>
      <c r="E395" s="22">
        <v>0</v>
      </c>
      <c r="F395" s="22">
        <f t="shared" si="26"/>
        <v>8617.5379225484994</v>
      </c>
      <c r="G395" s="231">
        <f t="shared" si="25"/>
        <v>87.045837601499443</v>
      </c>
    </row>
    <row r="396" spans="1:7" ht="33" x14ac:dyDescent="0.25">
      <c r="A396" s="494" t="s">
        <v>844</v>
      </c>
      <c r="B396" s="229" t="str">
        <f>'целевые показатели'!B347</f>
        <v>Капитальный ремонт автомобильных дорог города Орла на улицах частной жилой застройки: ул. Ново-Прядильная</v>
      </c>
      <c r="C396" s="22">
        <f>'целевые показатели'!L347</f>
        <v>3740.6824136999999</v>
      </c>
      <c r="D396" s="22">
        <v>0</v>
      </c>
      <c r="E396" s="22">
        <v>0</v>
      </c>
      <c r="F396" s="22">
        <f t="shared" si="26"/>
        <v>3703.2755895629998</v>
      </c>
      <c r="G396" s="231">
        <f t="shared" si="25"/>
        <v>37.406824137000058</v>
      </c>
    </row>
    <row r="397" spans="1:7" ht="33" x14ac:dyDescent="0.25">
      <c r="A397" s="494" t="s">
        <v>845</v>
      </c>
      <c r="B397" s="229" t="str">
        <f>'целевые показатели'!B348</f>
        <v>Капитальный ремонт автомобильных дорог города Орла на улицах частной жилой застройки: пер. Пожарный</v>
      </c>
      <c r="C397" s="22">
        <f>'целевые показатели'!L348</f>
        <v>1720.3982408999998</v>
      </c>
      <c r="D397" s="22">
        <v>0</v>
      </c>
      <c r="E397" s="22">
        <v>0</v>
      </c>
      <c r="F397" s="22">
        <f t="shared" si="26"/>
        <v>1703.1942584909998</v>
      </c>
      <c r="G397" s="231">
        <f t="shared" si="25"/>
        <v>17.203982408999991</v>
      </c>
    </row>
    <row r="398" spans="1:7" ht="33" x14ac:dyDescent="0.25">
      <c r="A398" s="494" t="s">
        <v>846</v>
      </c>
      <c r="B398" s="229" t="str">
        <f>'целевые показатели'!B349</f>
        <v>Капитальный ремонт автомобильных дорог города Орла на улицах частной жилой застройки: ул. Белинского</v>
      </c>
      <c r="C398" s="22">
        <f>'целевые показатели'!L349</f>
        <v>5492.647624799999</v>
      </c>
      <c r="D398" s="22">
        <v>0</v>
      </c>
      <c r="E398" s="22">
        <v>0</v>
      </c>
      <c r="F398" s="22">
        <f>C398*0.99-0.00001</f>
        <v>5437.7211385519995</v>
      </c>
      <c r="G398" s="231">
        <f>C398-F398-0.00001</f>
        <v>54.926476247999489</v>
      </c>
    </row>
    <row r="399" spans="1:7" ht="33" x14ac:dyDescent="0.25">
      <c r="A399" s="494" t="s">
        <v>847</v>
      </c>
      <c r="B399" s="229" t="str">
        <f>'целевые показатели'!B350</f>
        <v>Капитальный ремонт автомобильных дорог города Орла на улицах частной жилой застройки: пер. Культурный</v>
      </c>
      <c r="C399" s="22">
        <f>'целевые показатели'!L350</f>
        <v>5768.8583215499993</v>
      </c>
      <c r="D399" s="22">
        <v>0</v>
      </c>
      <c r="E399" s="22">
        <v>0</v>
      </c>
      <c r="F399" s="22">
        <f t="shared" si="26"/>
        <v>5711.169738334499</v>
      </c>
      <c r="G399" s="231">
        <f t="shared" si="25"/>
        <v>57.68858321550033</v>
      </c>
    </row>
    <row r="400" spans="1:7" ht="33" x14ac:dyDescent="0.25">
      <c r="A400" s="494" t="s">
        <v>848</v>
      </c>
      <c r="B400" s="229" t="str">
        <f>'целевые показатели'!B351</f>
        <v>Капитальный ремонт автомобильных дорог города Орла на улицах частной жилой застройки: ул.Заводская</v>
      </c>
      <c r="C400" s="22">
        <f>'целевые показатели'!L351</f>
        <v>5989.8269029499997</v>
      </c>
      <c r="D400" s="22">
        <v>0</v>
      </c>
      <c r="E400" s="22">
        <v>0</v>
      </c>
      <c r="F400" s="22">
        <f t="shared" si="26"/>
        <v>5929.9286339205</v>
      </c>
      <c r="G400" s="231">
        <f t="shared" si="25"/>
        <v>59.898269029499716</v>
      </c>
    </row>
    <row r="401" spans="1:7" ht="33" x14ac:dyDescent="0.25">
      <c r="A401" s="494" t="s">
        <v>849</v>
      </c>
      <c r="B401" s="229" t="str">
        <f>'целевые показатели'!B352</f>
        <v>Капитальный ремонт автомобильных дорог города Орла на улицах частной жилой застройки: ул. 1 Пушкарная</v>
      </c>
      <c r="C401" s="22">
        <f>'целевые показатели'!L352</f>
        <v>11837.602574999999</v>
      </c>
      <c r="D401" s="22">
        <v>0</v>
      </c>
      <c r="E401" s="22">
        <v>0</v>
      </c>
      <c r="F401" s="22">
        <f t="shared" si="26"/>
        <v>11719.226549249999</v>
      </c>
      <c r="G401" s="231">
        <f t="shared" si="25"/>
        <v>118.37602574999983</v>
      </c>
    </row>
    <row r="402" spans="1:7" ht="33" x14ac:dyDescent="0.25">
      <c r="A402" s="494" t="s">
        <v>850</v>
      </c>
      <c r="B402" s="229" t="str">
        <f>'целевые показатели'!B353</f>
        <v>Капитальный ремонт автомобильных дорог города Орла на улицах частной жилой застройки: ул. 2 Пушкарная</v>
      </c>
      <c r="C402" s="22">
        <f>'целевые показатели'!L353</f>
        <v>9470.0820600000006</v>
      </c>
      <c r="D402" s="22">
        <v>0</v>
      </c>
      <c r="E402" s="22">
        <v>0</v>
      </c>
      <c r="F402" s="22">
        <f t="shared" si="26"/>
        <v>9375.3812393999997</v>
      </c>
      <c r="G402" s="231">
        <f t="shared" si="25"/>
        <v>94.700820600000952</v>
      </c>
    </row>
    <row r="403" spans="1:7" ht="33" x14ac:dyDescent="0.25">
      <c r="A403" s="494" t="s">
        <v>851</v>
      </c>
      <c r="B403" s="229" t="str">
        <f>'целевые показатели'!B354</f>
        <v>Капитальный ремонт автомобильных дорог города Орла на улицах частной жилой застройки: ул. Зеленый Берег</v>
      </c>
      <c r="C403" s="22">
        <f>'целевые показатели'!L354</f>
        <v>11048.429069999998</v>
      </c>
      <c r="D403" s="22">
        <v>0</v>
      </c>
      <c r="E403" s="22">
        <v>0</v>
      </c>
      <c r="F403" s="22">
        <f t="shared" si="26"/>
        <v>10937.944779299998</v>
      </c>
      <c r="G403" s="231">
        <f t="shared" si="25"/>
        <v>110.4842907000002</v>
      </c>
    </row>
    <row r="404" spans="1:7" ht="33" x14ac:dyDescent="0.25">
      <c r="A404" s="494" t="s">
        <v>852</v>
      </c>
      <c r="B404" s="229" t="str">
        <f>'целевые показатели'!B355</f>
        <v>Капитальный ремонт автомобильных дорог города Орла на улицах частной жилой застройки: наб. Есенина</v>
      </c>
      <c r="C404" s="22">
        <f>'целевые показатели'!L355</f>
        <v>6400.1971055500007</v>
      </c>
      <c r="D404" s="22">
        <v>0</v>
      </c>
      <c r="E404" s="22">
        <v>0</v>
      </c>
      <c r="F404" s="22">
        <f t="shared" si="26"/>
        <v>6336.195134494501</v>
      </c>
      <c r="G404" s="231">
        <f>C404-F404+0.00001</f>
        <v>64.001981055499783</v>
      </c>
    </row>
    <row r="405" spans="1:7" ht="33" x14ac:dyDescent="0.25">
      <c r="A405" s="494" t="s">
        <v>853</v>
      </c>
      <c r="B405" s="229" t="str">
        <f>'целевые показатели'!B356</f>
        <v>Капитальный ремонт автомобильных дорог города Орла на улицах частной жилой застройки: ул. Чапаева</v>
      </c>
      <c r="C405" s="22">
        <f>'целевые показатели'!L356</f>
        <v>8680.908555</v>
      </c>
      <c r="D405" s="22">
        <v>0</v>
      </c>
      <c r="E405" s="22">
        <v>0</v>
      </c>
      <c r="F405" s="22">
        <f t="shared" si="26"/>
        <v>8594.0994694500005</v>
      </c>
      <c r="G405" s="231">
        <f t="shared" si="25"/>
        <v>86.809085549999509</v>
      </c>
    </row>
    <row r="406" spans="1:7" ht="33" x14ac:dyDescent="0.25">
      <c r="A406" s="494" t="s">
        <v>854</v>
      </c>
      <c r="B406" s="229" t="str">
        <f>'целевые показатели'!B357</f>
        <v>Капитальный ремонт автомобильных дорог города Орла на улицах частной жилой застройки:ул. Садово-Пушкарная</v>
      </c>
      <c r="C406" s="22">
        <f>'целевые показатели'!L357</f>
        <v>17756.403862499996</v>
      </c>
      <c r="D406" s="22">
        <v>0</v>
      </c>
      <c r="E406" s="22">
        <v>0</v>
      </c>
      <c r="F406" s="22">
        <f t="shared" si="26"/>
        <v>17578.839823874994</v>
      </c>
      <c r="G406" s="231">
        <f t="shared" si="25"/>
        <v>177.56403862500156</v>
      </c>
    </row>
    <row r="407" spans="1:7" ht="33" x14ac:dyDescent="0.25">
      <c r="A407" s="494" t="s">
        <v>855</v>
      </c>
      <c r="B407" s="229" t="str">
        <f>'целевые показатели'!B358</f>
        <v>Капитальный ремонт автомобильных дорог города Орла на улицах частной жилой застройки: ул. Панчука</v>
      </c>
      <c r="C407" s="22">
        <f>'целевые показатели'!L358</f>
        <v>16572.643604999997</v>
      </c>
      <c r="D407" s="22">
        <v>0</v>
      </c>
      <c r="E407" s="22">
        <v>0</v>
      </c>
      <c r="F407" s="22">
        <f t="shared" si="26"/>
        <v>16406.917168949996</v>
      </c>
      <c r="G407" s="231">
        <f t="shared" si="25"/>
        <v>165.72643605000121</v>
      </c>
    </row>
    <row r="408" spans="1:7" ht="33" x14ac:dyDescent="0.25">
      <c r="A408" s="494" t="s">
        <v>856</v>
      </c>
      <c r="B408" s="229" t="str">
        <f>'целевые показатели'!B359</f>
        <v>Капитальный ремонт автомобильных дорог города Орла на улицах частной жилой застройки: ул. Достоевского</v>
      </c>
      <c r="C408" s="22">
        <f>'целевые показатели'!L359</f>
        <v>11837.602574999999</v>
      </c>
      <c r="D408" s="22">
        <v>0</v>
      </c>
      <c r="E408" s="22">
        <v>0</v>
      </c>
      <c r="F408" s="22">
        <f t="shared" si="26"/>
        <v>11719.226549249999</v>
      </c>
      <c r="G408" s="231">
        <f t="shared" si="25"/>
        <v>118.37602574999983</v>
      </c>
    </row>
    <row r="409" spans="1:7" ht="33" x14ac:dyDescent="0.25">
      <c r="A409" s="494" t="s">
        <v>857</v>
      </c>
      <c r="B409" s="229" t="str">
        <f>'целевые показатели'!B360</f>
        <v>Капитальный ремонт автомобильных дорог города Орла на улицах частной жилой застройки: ул. Циолковского</v>
      </c>
      <c r="C409" s="22">
        <f>'целевые показатели'!L360</f>
        <v>8680.908555</v>
      </c>
      <c r="D409" s="22">
        <v>0</v>
      </c>
      <c r="E409" s="22">
        <v>0</v>
      </c>
      <c r="F409" s="22">
        <f t="shared" si="26"/>
        <v>8594.0994694500005</v>
      </c>
      <c r="G409" s="231">
        <f t="shared" si="25"/>
        <v>86.809085549999509</v>
      </c>
    </row>
    <row r="410" spans="1:7" ht="33" x14ac:dyDescent="0.25">
      <c r="A410" s="494" t="s">
        <v>858</v>
      </c>
      <c r="B410" s="229" t="str">
        <f>'целевые показатели'!B361</f>
        <v>Капитальный ремонт автомобильных дорог города Орла на улицах частной жилой застройки: ул. Андреева</v>
      </c>
      <c r="C410" s="22">
        <f>'целевые показатели'!L361</f>
        <v>6285.7669673250002</v>
      </c>
      <c r="D410" s="22">
        <v>0</v>
      </c>
      <c r="E410" s="22">
        <v>0</v>
      </c>
      <c r="F410" s="22">
        <f t="shared" si="26"/>
        <v>6222.9092976517504</v>
      </c>
      <c r="G410" s="231">
        <f t="shared" si="25"/>
        <v>62.857669673249802</v>
      </c>
    </row>
    <row r="411" spans="1:7" ht="33" x14ac:dyDescent="0.25">
      <c r="A411" s="494" t="s">
        <v>859</v>
      </c>
      <c r="B411" s="229" t="str">
        <f>'целевые показатели'!B362</f>
        <v>Капитальный ремонт автомобильных дорог города Орла на улицах частной жилой застройки: ул. Спивака</v>
      </c>
      <c r="C411" s="22">
        <f>'целевые показатели'!L362</f>
        <v>16572.643604999997</v>
      </c>
      <c r="D411" s="22">
        <v>0</v>
      </c>
      <c r="E411" s="22">
        <v>0</v>
      </c>
      <c r="F411" s="22">
        <f t="shared" si="26"/>
        <v>16406.917168949996</v>
      </c>
      <c r="G411" s="231">
        <f t="shared" si="25"/>
        <v>165.72643605000121</v>
      </c>
    </row>
    <row r="412" spans="1:7" ht="33" x14ac:dyDescent="0.25">
      <c r="A412" s="494" t="s">
        <v>860</v>
      </c>
      <c r="B412" s="229" t="str">
        <f>'целевые показатели'!B363</f>
        <v>Капитальный ремонт автомобильных дорог города Орла на улицах частной жилой застройки: ул. Чайкиной</v>
      </c>
      <c r="C412" s="22">
        <f>'целевые показатели'!L363</f>
        <v>2825.2411478999998</v>
      </c>
      <c r="D412" s="22">
        <v>0</v>
      </c>
      <c r="E412" s="22">
        <v>0</v>
      </c>
      <c r="F412" s="22">
        <f t="shared" si="26"/>
        <v>2796.9887364209999</v>
      </c>
      <c r="G412" s="231">
        <f t="shared" si="25"/>
        <v>28.252411478999875</v>
      </c>
    </row>
    <row r="413" spans="1:7" ht="33" x14ac:dyDescent="0.25">
      <c r="A413" s="494" t="s">
        <v>861</v>
      </c>
      <c r="B413" s="229" t="str">
        <f>'целевые показатели'!B364</f>
        <v>Капитальный ремонт автомобильных дорог города Орла на улицах частной жилой застройки: ул. Земнухова</v>
      </c>
      <c r="C413" s="22">
        <f>'целевые показатели'!L364</f>
        <v>2888.3750282999999</v>
      </c>
      <c r="D413" s="22">
        <v>0</v>
      </c>
      <c r="E413" s="22">
        <v>0</v>
      </c>
      <c r="F413" s="22">
        <f t="shared" si="26"/>
        <v>2859.4912780169998</v>
      </c>
      <c r="G413" s="231">
        <f t="shared" si="25"/>
        <v>28.883750283000154</v>
      </c>
    </row>
    <row r="414" spans="1:7" ht="33" x14ac:dyDescent="0.25">
      <c r="A414" s="494" t="s">
        <v>862</v>
      </c>
      <c r="B414" s="229" t="str">
        <f>'целевые показатели'!B365</f>
        <v>Капитальный ремонт автомобильных дорог города Орла на улицах частной жилой застройки: ул. Кошевого</v>
      </c>
      <c r="C414" s="22">
        <f>'целевые показатели'!L365</f>
        <v>2919.9419684999998</v>
      </c>
      <c r="D414" s="22">
        <v>0</v>
      </c>
      <c r="E414" s="22">
        <v>0</v>
      </c>
      <c r="F414" s="22">
        <f t="shared" si="26"/>
        <v>2890.7425488149997</v>
      </c>
      <c r="G414" s="231">
        <f t="shared" si="25"/>
        <v>29.199419685000066</v>
      </c>
    </row>
    <row r="415" spans="1:7" ht="33" x14ac:dyDescent="0.25">
      <c r="A415" s="494" t="s">
        <v>863</v>
      </c>
      <c r="B415" s="229" t="str">
        <f>'целевые показатели'!B366</f>
        <v>Капитальный ремонт автомобильных дорог города Орла на улицах частной жилой застройки: ул. Тюленина</v>
      </c>
      <c r="C415" s="22">
        <f>'целевые показатели'!L366</f>
        <v>3638.0898580499997</v>
      </c>
      <c r="D415" s="22">
        <v>0</v>
      </c>
      <c r="E415" s="22">
        <v>0</v>
      </c>
      <c r="F415" s="22">
        <f t="shared" si="26"/>
        <v>3601.7089594694999</v>
      </c>
      <c r="G415" s="231">
        <f t="shared" si="25"/>
        <v>36.380898580499888</v>
      </c>
    </row>
    <row r="416" spans="1:7" ht="33" x14ac:dyDescent="0.25">
      <c r="A416" s="494" t="s">
        <v>864</v>
      </c>
      <c r="B416" s="229" t="str">
        <f>'целевые показатели'!B367</f>
        <v>Капитальный ремонт автомобильных дорог города Орла на улицах частной жилой застройки: ул. Громовой</v>
      </c>
      <c r="C416" s="22">
        <f>'целевые показатели'!L367</f>
        <v>2272.8197144000001</v>
      </c>
      <c r="D416" s="22">
        <v>0</v>
      </c>
      <c r="E416" s="22">
        <v>0</v>
      </c>
      <c r="F416" s="22">
        <f>C416*0.99-0.000007</f>
        <v>2250.0915102559998</v>
      </c>
      <c r="G416" s="231">
        <f t="shared" si="25"/>
        <v>22.728204144000301</v>
      </c>
    </row>
    <row r="417" spans="1:7" ht="33" x14ac:dyDescent="0.25">
      <c r="A417" s="494" t="s">
        <v>865</v>
      </c>
      <c r="B417" s="229" t="str">
        <f>'целевые показатели'!B368</f>
        <v>Капитальный ремонт автомобильных дорог города Орла на улицах частной жилой застройки: пер. Шевцовой</v>
      </c>
      <c r="C417" s="22">
        <f>'целевые показатели'!L368</f>
        <v>2706.8651221500004</v>
      </c>
      <c r="D417" s="22">
        <v>0</v>
      </c>
      <c r="E417" s="22">
        <v>0</v>
      </c>
      <c r="F417" s="22">
        <f t="shared" si="26"/>
        <v>2679.7964709285002</v>
      </c>
      <c r="G417" s="231">
        <f t="shared" si="25"/>
        <v>27.068651221500204</v>
      </c>
    </row>
    <row r="418" spans="1:7" ht="33" x14ac:dyDescent="0.25">
      <c r="A418" s="494" t="s">
        <v>866</v>
      </c>
      <c r="B418" s="229" t="str">
        <f>'целевые показатели'!B369</f>
        <v xml:space="preserve">Капитальный ремонт автомобильных дорог города Орла на улицах частной жилой застройки: ул. Островского </v>
      </c>
      <c r="C418" s="22">
        <f>'целевые показатели'!L369</f>
        <v>6550.1400914999995</v>
      </c>
      <c r="D418" s="22">
        <v>0</v>
      </c>
      <c r="E418" s="22">
        <v>0</v>
      </c>
      <c r="F418" s="22">
        <f t="shared" si="26"/>
        <v>6484.6386905849995</v>
      </c>
      <c r="G418" s="231">
        <f t="shared" si="25"/>
        <v>65.501400914999977</v>
      </c>
    </row>
    <row r="419" spans="1:7" ht="33" x14ac:dyDescent="0.25">
      <c r="A419" s="494" t="s">
        <v>867</v>
      </c>
      <c r="B419" s="229" t="str">
        <f>'целевые показатели'!B370</f>
        <v>Капитальный ремонт автомобильных дорог города Орла на улицах частной жилой застройки: ул. Моховая</v>
      </c>
      <c r="C419" s="22">
        <f>'целевые показатели'!L370</f>
        <v>6534.3566413999988</v>
      </c>
      <c r="D419" s="22">
        <v>0</v>
      </c>
      <c r="E419" s="22">
        <v>0</v>
      </c>
      <c r="F419" s="22">
        <f t="shared" si="26"/>
        <v>6469.0130749859991</v>
      </c>
      <c r="G419" s="231">
        <f t="shared" si="25"/>
        <v>65.343566413999724</v>
      </c>
    </row>
    <row r="420" spans="1:7" ht="33" x14ac:dyDescent="0.25">
      <c r="A420" s="494" t="s">
        <v>868</v>
      </c>
      <c r="B420" s="229" t="str">
        <f>'целевые показатели'!B371</f>
        <v>Капитальный ремонт автомобильных дорог города Орла на улицах частной жилой застройки: ул. Калужская</v>
      </c>
      <c r="C420" s="22">
        <f>'целевые показатели'!L371</f>
        <v>8680.908555</v>
      </c>
      <c r="D420" s="22">
        <v>0</v>
      </c>
      <c r="E420" s="22">
        <v>0</v>
      </c>
      <c r="F420" s="22">
        <f t="shared" si="26"/>
        <v>8594.0994694500005</v>
      </c>
      <c r="G420" s="231">
        <f t="shared" si="25"/>
        <v>86.809085549999509</v>
      </c>
    </row>
    <row r="421" spans="1:7" ht="33" x14ac:dyDescent="0.25">
      <c r="A421" s="494" t="s">
        <v>869</v>
      </c>
      <c r="B421" s="229" t="str">
        <f>'целевые показатели'!B372</f>
        <v>Капитальный ремонт автомобильных дорог города Орла на улицах частной жилой застройки: ул. Восточная</v>
      </c>
      <c r="C421" s="22">
        <f>'целевые показатели'!L372</f>
        <v>6518.5731513000001</v>
      </c>
      <c r="D421" s="22">
        <v>0</v>
      </c>
      <c r="E421" s="22">
        <v>0</v>
      </c>
      <c r="F421" s="22">
        <f t="shared" si="26"/>
        <v>6453.387419787</v>
      </c>
      <c r="G421" s="231">
        <f t="shared" si="25"/>
        <v>65.185731513000064</v>
      </c>
    </row>
    <row r="422" spans="1:7" ht="33" x14ac:dyDescent="0.25">
      <c r="A422" s="494" t="s">
        <v>870</v>
      </c>
      <c r="B422" s="229" t="str">
        <f>'целевые показатели'!B373</f>
        <v>Капитальный ремонт автомобильных дорог города Орла на улицах частной жилой застройки: ул. Ольховецкая</v>
      </c>
      <c r="C422" s="22">
        <f>'целевые показатели'!L373</f>
        <v>5169.0864177499989</v>
      </c>
      <c r="D422" s="22">
        <v>0</v>
      </c>
      <c r="E422" s="22">
        <v>0</v>
      </c>
      <c r="F422" s="22">
        <f>C422*0.99+0.00001</f>
        <v>5117.3955635724988</v>
      </c>
      <c r="G422" s="231">
        <f>C422-F422+0.00001</f>
        <v>51.690864177500117</v>
      </c>
    </row>
    <row r="423" spans="1:7" ht="33" x14ac:dyDescent="0.25">
      <c r="A423" s="494" t="s">
        <v>871</v>
      </c>
      <c r="B423" s="229" t="str">
        <f>'целевые показатели'!B374</f>
        <v>Капитальный ремонт автомобильных дорог города Орла на улицах частной жилой застройки: ул. Краснозоренская</v>
      </c>
      <c r="C423" s="22">
        <f>'целевые показатели'!L374</f>
        <v>6731.649997649999</v>
      </c>
      <c r="D423" s="22">
        <v>0</v>
      </c>
      <c r="E423" s="22">
        <v>0</v>
      </c>
      <c r="F423" s="22">
        <f t="shared" si="26"/>
        <v>6664.3334976734986</v>
      </c>
      <c r="G423" s="231">
        <f t="shared" si="25"/>
        <v>67.316499976500381</v>
      </c>
    </row>
    <row r="424" spans="1:7" ht="33" x14ac:dyDescent="0.25">
      <c r="A424" s="494" t="s">
        <v>872</v>
      </c>
      <c r="B424" s="229" t="str">
        <f>'целевые показатели'!B375</f>
        <v>Капитальный ремонт автомобильных дорог города Орла на улицах частной жилой застройки: ул. Придорожная</v>
      </c>
      <c r="C424" s="22">
        <f>'целевые показатели'!L375</f>
        <v>2564.8138912499999</v>
      </c>
      <c r="D424" s="22">
        <v>0</v>
      </c>
      <c r="E424" s="22">
        <v>0</v>
      </c>
      <c r="F424" s="22">
        <f t="shared" si="26"/>
        <v>2539.1657523374997</v>
      </c>
      <c r="G424" s="231">
        <f t="shared" si="25"/>
        <v>25.648138912500144</v>
      </c>
    </row>
    <row r="425" spans="1:7" ht="33" x14ac:dyDescent="0.25">
      <c r="A425" s="494" t="s">
        <v>873</v>
      </c>
      <c r="B425" s="229" t="str">
        <f>'целевые показатели'!B376</f>
        <v>Капитальный ремонт автомобильных дорог города Орла на улицах частной жилой застройки: пер. Лебединый</v>
      </c>
      <c r="C425" s="22">
        <f>'целевые показатели'!L376</f>
        <v>844.41565034999985</v>
      </c>
      <c r="D425" s="22">
        <v>0</v>
      </c>
      <c r="E425" s="22">
        <v>0</v>
      </c>
      <c r="F425" s="22">
        <f t="shared" si="26"/>
        <v>835.97149384649981</v>
      </c>
      <c r="G425" s="231">
        <f t="shared" si="25"/>
        <v>8.4441565035000394</v>
      </c>
    </row>
    <row r="426" spans="1:7" ht="33" x14ac:dyDescent="0.25">
      <c r="A426" s="494" t="s">
        <v>874</v>
      </c>
      <c r="B426" s="229" t="str">
        <f>'целевые показатели'!B377</f>
        <v>Капитальный ремонт автомобильных дорог города Орла на улицах частной жилой застройки: ул. Мебельная</v>
      </c>
      <c r="C426" s="22">
        <f>'целевые показатели'!L377</f>
        <v>1744.0734360499998</v>
      </c>
      <c r="D426" s="22">
        <v>0</v>
      </c>
      <c r="E426" s="22">
        <v>0</v>
      </c>
      <c r="F426" s="22">
        <f t="shared" si="26"/>
        <v>1726.6327016894998</v>
      </c>
      <c r="G426" s="231">
        <f>C426-F426+0.00001</f>
        <v>17.440744360500073</v>
      </c>
    </row>
    <row r="427" spans="1:7" ht="33" x14ac:dyDescent="0.25">
      <c r="A427" s="494" t="s">
        <v>875</v>
      </c>
      <c r="B427" s="229" t="str">
        <f>'целевые показатели'!B378</f>
        <v>Капитальный ремонт автомобильных дорог города Орла на улицах частной жилой застройки: пер. Краснозоренский</v>
      </c>
      <c r="C427" s="22">
        <f>'целевые показатели'!L378</f>
        <v>1736.181711</v>
      </c>
      <c r="D427" s="22">
        <v>0</v>
      </c>
      <c r="E427" s="22">
        <v>0</v>
      </c>
      <c r="F427" s="22">
        <f t="shared" si="26"/>
        <v>1718.81989389</v>
      </c>
      <c r="G427" s="231">
        <f t="shared" si="25"/>
        <v>17.361817109999947</v>
      </c>
    </row>
    <row r="428" spans="1:7" ht="33" x14ac:dyDescent="0.25">
      <c r="A428" s="494" t="s">
        <v>876</v>
      </c>
      <c r="B428" s="229" t="str">
        <f>'целевые показатели'!B379</f>
        <v>Капитальный ремонт автомобильных дорог города Орла на улицах частной жилой застройки: пер. Столярный</v>
      </c>
      <c r="C428" s="22">
        <f>'целевые показатели'!L379-0.000005</f>
        <v>947.00817600000005</v>
      </c>
      <c r="D428" s="22">
        <v>0</v>
      </c>
      <c r="E428" s="22">
        <v>0</v>
      </c>
      <c r="F428" s="22">
        <f>C428*0.99+0.00001</f>
        <v>937.53810424000005</v>
      </c>
      <c r="G428" s="231">
        <f>C428-F428+0.00001</f>
        <v>9.4700817599999958</v>
      </c>
    </row>
    <row r="429" spans="1:7" ht="33" x14ac:dyDescent="0.25">
      <c r="A429" s="494" t="s">
        <v>877</v>
      </c>
      <c r="B429" s="229" t="str">
        <f>'целевые показатели'!B380</f>
        <v>Капитальный ремонт автомобильных дорог города Орла на улицах частной жилой застройки: ул. Надежды</v>
      </c>
      <c r="C429" s="22">
        <f>'целевые показатели'!L380</f>
        <v>3748.5741487499999</v>
      </c>
      <c r="D429" s="22">
        <v>0</v>
      </c>
      <c r="E429" s="22">
        <v>0</v>
      </c>
      <c r="F429" s="22">
        <f t="shared" si="26"/>
        <v>3711.0884072624999</v>
      </c>
      <c r="G429" s="231">
        <f t="shared" si="25"/>
        <v>37.485741487500036</v>
      </c>
    </row>
    <row r="430" spans="1:7" ht="33" x14ac:dyDescent="0.25">
      <c r="A430" s="494" t="s">
        <v>878</v>
      </c>
      <c r="B430" s="229" t="str">
        <f>'целевые показатели'!B381</f>
        <v>Капитальный ремонт автомобильных дорог города Орла на улицах частной жилой застройки: ул. Сечкина</v>
      </c>
      <c r="C430" s="22">
        <f>'целевые показатели'!L381</f>
        <v>2280.7114294499997</v>
      </c>
      <c r="D430" s="22">
        <v>0</v>
      </c>
      <c r="E430" s="22">
        <v>0</v>
      </c>
      <c r="F430" s="22">
        <f t="shared" si="26"/>
        <v>2257.9043151554997</v>
      </c>
      <c r="G430" s="231">
        <f t="shared" si="25"/>
        <v>22.807114294500025</v>
      </c>
    </row>
    <row r="431" spans="1:7" ht="33" x14ac:dyDescent="0.25">
      <c r="A431" s="494" t="s">
        <v>879</v>
      </c>
      <c r="B431" s="229" t="str">
        <f>'целевые показатели'!B382</f>
        <v>Капитальный ремонт автомобильных дорог города Орла на улицах частной жилой застройки: пер. Сечкина</v>
      </c>
      <c r="C431" s="22">
        <f>'целевые показатели'!L382</f>
        <v>1996.6089676500001</v>
      </c>
      <c r="D431" s="22">
        <v>0</v>
      </c>
      <c r="E431" s="22">
        <v>0</v>
      </c>
      <c r="F431" s="22">
        <f t="shared" si="26"/>
        <v>1976.6428779735002</v>
      </c>
      <c r="G431" s="231">
        <f t="shared" si="25"/>
        <v>19.966089676499905</v>
      </c>
    </row>
    <row r="432" spans="1:7" ht="33" x14ac:dyDescent="0.25">
      <c r="A432" s="494" t="s">
        <v>880</v>
      </c>
      <c r="B432" s="229" t="str">
        <f>'целевые показатели'!B383</f>
        <v>Капитальный ремонт автомобильных дорог города Орла на улицах частной жилой застройки: ул. Героев Чекистов</v>
      </c>
      <c r="C432" s="22">
        <f>'целевые показатели'!L383</f>
        <v>1625.6974203</v>
      </c>
      <c r="D432" s="22">
        <v>0</v>
      </c>
      <c r="E432" s="22">
        <v>0</v>
      </c>
      <c r="F432" s="22">
        <f t="shared" si="26"/>
        <v>1609.4404460969999</v>
      </c>
      <c r="G432" s="231">
        <f t="shared" si="25"/>
        <v>16.256974203000027</v>
      </c>
    </row>
    <row r="433" spans="1:8" ht="33" x14ac:dyDescent="0.25">
      <c r="A433" s="494" t="s">
        <v>881</v>
      </c>
      <c r="B433" s="229" t="str">
        <f>'целевые показатели'!B384</f>
        <v>Капитальный ремонт автомобильных дорог города Орла на улицах частной жилой застройки: ул. Героев Милиционеров</v>
      </c>
      <c r="C433" s="22">
        <f>'целевые показатели'!L384</f>
        <v>757.60613599999999</v>
      </c>
      <c r="D433" s="22">
        <v>0</v>
      </c>
      <c r="E433" s="22">
        <v>0</v>
      </c>
      <c r="F433" s="22">
        <f t="shared" si="26"/>
        <v>750.03007463999995</v>
      </c>
      <c r="G433" s="231">
        <f>C433-F433+0.00001</f>
        <v>7.5760713600000393</v>
      </c>
    </row>
    <row r="434" spans="1:8" ht="33" x14ac:dyDescent="0.25">
      <c r="A434" s="494" t="s">
        <v>884</v>
      </c>
      <c r="B434" s="229" t="str">
        <f>'целевые показатели'!B385</f>
        <v>Капитальный ремонт автомобильных дорог города Орла на улицах частной жилой застройки: ул. Благининой</v>
      </c>
      <c r="C434" s="22">
        <f>'целевые показатели'!L385</f>
        <v>16250.152047999996</v>
      </c>
      <c r="D434" s="22">
        <v>0</v>
      </c>
      <c r="E434" s="22">
        <v>0</v>
      </c>
      <c r="F434" s="22">
        <f t="shared" si="26"/>
        <v>16087.650527519996</v>
      </c>
      <c r="G434" s="231">
        <f t="shared" si="25"/>
        <v>162.50152048000018</v>
      </c>
    </row>
    <row r="435" spans="1:8" ht="21" customHeight="1" x14ac:dyDescent="0.25">
      <c r="A435" s="762" t="s">
        <v>21</v>
      </c>
      <c r="B435" s="763"/>
      <c r="C435" s="763"/>
      <c r="D435" s="763"/>
      <c r="E435" s="763"/>
      <c r="F435" s="763"/>
      <c r="G435" s="764"/>
    </row>
    <row r="436" spans="1:8" x14ac:dyDescent="0.25">
      <c r="A436" s="410">
        <v>1</v>
      </c>
      <c r="B436" s="321" t="s">
        <v>44</v>
      </c>
      <c r="C436" s="313">
        <f>SUM(C438:C446)</f>
        <v>909090.9090937071</v>
      </c>
      <c r="D436" s="313">
        <f>SUM(D438:D446)</f>
        <v>0</v>
      </c>
      <c r="E436" s="313">
        <f>SUM(E438:E446)</f>
        <v>0</v>
      </c>
      <c r="F436" s="313">
        <f>SUM(F438:F446)</f>
        <v>900000.0000027701</v>
      </c>
      <c r="G436" s="411">
        <f>SUM(G438:G446)</f>
        <v>3421.429798199998</v>
      </c>
      <c r="H436" s="236">
        <f>'целевые показатели'!M26</f>
        <v>909090.90908999997</v>
      </c>
    </row>
    <row r="437" spans="1:8" x14ac:dyDescent="0.25">
      <c r="A437" s="228" t="s">
        <v>45</v>
      </c>
      <c r="B437" s="325" t="s">
        <v>22</v>
      </c>
      <c r="C437" s="22">
        <f>SUM(C438:C441)</f>
        <v>734795.99539370718</v>
      </c>
      <c r="D437" s="22">
        <f>SUM(D438:D441)</f>
        <v>0</v>
      </c>
      <c r="E437" s="22">
        <f>SUM(E438:E441)</f>
        <v>0</v>
      </c>
      <c r="F437" s="22">
        <f>SUM(F438:F441)</f>
        <v>727448.03543977009</v>
      </c>
      <c r="G437" s="231">
        <f>C437-F437</f>
        <v>7347.9599539370975</v>
      </c>
    </row>
    <row r="438" spans="1:8" x14ac:dyDescent="0.25">
      <c r="A438" s="240" t="s">
        <v>172</v>
      </c>
      <c r="B438" s="241" t="s">
        <v>169</v>
      </c>
      <c r="C438" s="242">
        <v>20000</v>
      </c>
      <c r="D438" s="243">
        <v>0</v>
      </c>
      <c r="E438" s="243">
        <v>0</v>
      </c>
      <c r="F438" s="243">
        <f>C438*0.99</f>
        <v>19800</v>
      </c>
      <c r="G438" s="244">
        <f>C438-F438</f>
        <v>200</v>
      </c>
    </row>
    <row r="439" spans="1:8" ht="31.5" x14ac:dyDescent="0.25">
      <c r="A439" s="240" t="s">
        <v>173</v>
      </c>
      <c r="B439" s="241" t="s">
        <v>178</v>
      </c>
      <c r="C439" s="242">
        <v>100873.39939999999</v>
      </c>
      <c r="D439" s="243">
        <v>0</v>
      </c>
      <c r="E439" s="243">
        <v>0</v>
      </c>
      <c r="F439" s="243">
        <f t="shared" ref="F439:F446" si="27">C439*0.99</f>
        <v>99864.665406</v>
      </c>
      <c r="G439" s="244">
        <f t="shared" ref="G439:G446" si="28">C439-F439</f>
        <v>1008.7339939999947</v>
      </c>
    </row>
    <row r="440" spans="1:8" ht="31.5" x14ac:dyDescent="0.25">
      <c r="A440" s="240" t="s">
        <v>174</v>
      </c>
      <c r="B440" s="241" t="s">
        <v>170</v>
      </c>
      <c r="C440" s="242">
        <v>4025.1717699999999</v>
      </c>
      <c r="D440" s="243">
        <v>0</v>
      </c>
      <c r="E440" s="243">
        <v>0</v>
      </c>
      <c r="F440" s="243">
        <f t="shared" si="27"/>
        <v>3984.9200523</v>
      </c>
      <c r="G440" s="244">
        <f t="shared" si="28"/>
        <v>40.251717699999972</v>
      </c>
    </row>
    <row r="441" spans="1:8" x14ac:dyDescent="0.25">
      <c r="A441" s="240" t="s">
        <v>175</v>
      </c>
      <c r="B441" s="241" t="s">
        <v>171</v>
      </c>
      <c r="C441" s="242">
        <v>609897.42422370717</v>
      </c>
      <c r="D441" s="243">
        <v>0</v>
      </c>
      <c r="E441" s="243">
        <v>0</v>
      </c>
      <c r="F441" s="243">
        <f t="shared" si="27"/>
        <v>603798.44998147013</v>
      </c>
      <c r="G441" s="244">
        <f>C442-F442</f>
        <v>429.49494950000371</v>
      </c>
    </row>
    <row r="442" spans="1:8" x14ac:dyDescent="0.25">
      <c r="A442" s="437" t="s">
        <v>46</v>
      </c>
      <c r="B442" s="325" t="s">
        <v>23</v>
      </c>
      <c r="C442" s="22">
        <f>'целевые показатели'!M28</f>
        <v>42949.49495</v>
      </c>
      <c r="D442" s="22">
        <v>0</v>
      </c>
      <c r="E442" s="22">
        <v>0</v>
      </c>
      <c r="F442" s="243">
        <f t="shared" si="27"/>
        <v>42520.000000499997</v>
      </c>
      <c r="G442" s="231">
        <f t="shared" si="28"/>
        <v>429.49494950000371</v>
      </c>
    </row>
    <row r="443" spans="1:8" ht="16.5" x14ac:dyDescent="0.25">
      <c r="A443" s="228" t="s">
        <v>47</v>
      </c>
      <c r="B443" s="275" t="s">
        <v>186</v>
      </c>
      <c r="C443" s="22">
        <f>'целевые показатели'!M29</f>
        <v>116193.90360000001</v>
      </c>
      <c r="D443" s="22">
        <v>0</v>
      </c>
      <c r="E443" s="22">
        <v>0</v>
      </c>
      <c r="F443" s="22">
        <f t="shared" si="27"/>
        <v>115031.96456400001</v>
      </c>
      <c r="G443" s="231">
        <f t="shared" si="28"/>
        <v>1161.9390359999961</v>
      </c>
    </row>
    <row r="444" spans="1:8" ht="31.5" x14ac:dyDescent="0.25">
      <c r="A444" s="228" t="s">
        <v>48</v>
      </c>
      <c r="B444" s="18" t="s">
        <v>24</v>
      </c>
      <c r="C444" s="22">
        <f>'целевые показатели'!M30</f>
        <v>10101.0101</v>
      </c>
      <c r="D444" s="22">
        <v>0</v>
      </c>
      <c r="E444" s="22">
        <v>0</v>
      </c>
      <c r="F444" s="22">
        <f t="shared" si="27"/>
        <v>9999.9999989999997</v>
      </c>
      <c r="G444" s="231">
        <f t="shared" si="28"/>
        <v>101.01010099999985</v>
      </c>
    </row>
    <row r="445" spans="1:8" ht="31.5" x14ac:dyDescent="0.25">
      <c r="A445" s="228" t="s">
        <v>49</v>
      </c>
      <c r="B445" s="344" t="s">
        <v>25</v>
      </c>
      <c r="C445" s="22">
        <f>'целевые показатели'!M32</f>
        <v>5050.5050499999998</v>
      </c>
      <c r="D445" s="22">
        <v>0</v>
      </c>
      <c r="E445" s="22">
        <v>0</v>
      </c>
      <c r="F445" s="22">
        <f t="shared" si="27"/>
        <v>4999.9999994999998</v>
      </c>
      <c r="G445" s="231">
        <f t="shared" si="28"/>
        <v>50.505050499999925</v>
      </c>
    </row>
    <row r="446" spans="1:8" ht="16.5" x14ac:dyDescent="0.25">
      <c r="A446" s="228" t="s">
        <v>155</v>
      </c>
      <c r="B446" s="229" t="s">
        <v>154</v>
      </c>
      <c r="C446" s="22">
        <f>'целевые показатели'!M33</f>
        <v>0</v>
      </c>
      <c r="D446" s="22">
        <v>0</v>
      </c>
      <c r="E446" s="22">
        <v>0</v>
      </c>
      <c r="F446" s="22">
        <f t="shared" si="27"/>
        <v>0</v>
      </c>
      <c r="G446" s="231">
        <f t="shared" si="28"/>
        <v>0</v>
      </c>
    </row>
    <row r="447" spans="1:8" ht="31.5" x14ac:dyDescent="0.25">
      <c r="A447" s="410">
        <v>2</v>
      </c>
      <c r="B447" s="321" t="s">
        <v>15</v>
      </c>
      <c r="C447" s="396">
        <f>SUM(C448:C448)</f>
        <v>3947</v>
      </c>
      <c r="D447" s="396">
        <f>SUM(D448:D448)</f>
        <v>0</v>
      </c>
      <c r="E447" s="396">
        <f>SUM(E448:E448)</f>
        <v>0</v>
      </c>
      <c r="F447" s="396">
        <f>SUM(F448:F448)</f>
        <v>0</v>
      </c>
      <c r="G447" s="427">
        <f>SUM(G448:G448)</f>
        <v>3947</v>
      </c>
    </row>
    <row r="448" spans="1:8" ht="31.5" x14ac:dyDescent="0.25">
      <c r="A448" s="228" t="s">
        <v>159</v>
      </c>
      <c r="B448" s="18" t="str">
        <f>'целевые показатели'!B131</f>
        <v>разработка проектно-сметной документации и проведение проверки достоверности сметной стоимости</v>
      </c>
      <c r="C448" s="230">
        <f>'целевые показатели'!M131</f>
        <v>3947</v>
      </c>
      <c r="D448" s="230">
        <v>0</v>
      </c>
      <c r="E448" s="230">
        <v>0</v>
      </c>
      <c r="F448" s="22">
        <v>0</v>
      </c>
      <c r="G448" s="231">
        <f>C448-F448</f>
        <v>3947</v>
      </c>
      <c r="H448" s="238" t="s">
        <v>676</v>
      </c>
    </row>
    <row r="449" spans="1:10" ht="94.5" x14ac:dyDescent="0.25">
      <c r="A449" s="410">
        <v>3</v>
      </c>
      <c r="B449" s="321" t="s">
        <v>436</v>
      </c>
      <c r="C449" s="313">
        <f>SUM(C450:C451)</f>
        <v>306030.30303000001</v>
      </c>
      <c r="D449" s="313">
        <f>SUM(D450:D451)</f>
        <v>0</v>
      </c>
      <c r="E449" s="313">
        <f>SUM(E450:E451)</f>
        <v>0</v>
      </c>
      <c r="F449" s="313">
        <f>SUM(F450:F451)</f>
        <v>299999.9999997</v>
      </c>
      <c r="G449" s="411">
        <f>SUM(G450:G451)</f>
        <v>6030.3030303000123</v>
      </c>
    </row>
    <row r="450" spans="1:10" ht="16.5" x14ac:dyDescent="0.25">
      <c r="A450" s="228" t="s">
        <v>68</v>
      </c>
      <c r="B450" s="275" t="str">
        <f>'целевые показатели'!B157</f>
        <v>Московское шоссе (от пер.Межевого до ул.Рощинской)</v>
      </c>
      <c r="C450" s="22">
        <f>'целевые показатели'!M157</f>
        <v>303030.30303000001</v>
      </c>
      <c r="D450" s="22">
        <v>0</v>
      </c>
      <c r="E450" s="22">
        <v>0</v>
      </c>
      <c r="F450" s="22">
        <f>C450*0.99</f>
        <v>299999.9999997</v>
      </c>
      <c r="G450" s="231">
        <f>C450-F450</f>
        <v>3030.3030303000123</v>
      </c>
    </row>
    <row r="451" spans="1:10" ht="33" x14ac:dyDescent="0.25">
      <c r="A451" s="228" t="s">
        <v>69</v>
      </c>
      <c r="B451" s="275" t="str">
        <f>'целевые показатели'!B160</f>
        <v>разработка проектно-сметной документации и проведение проверки достоверности сметной стоимости</v>
      </c>
      <c r="C451" s="22">
        <f>'целевые показатели'!M160</f>
        <v>3000</v>
      </c>
      <c r="D451" s="22">
        <v>0</v>
      </c>
      <c r="E451" s="22">
        <v>0</v>
      </c>
      <c r="F451" s="22">
        <v>0</v>
      </c>
      <c r="G451" s="231">
        <f>C451-F451</f>
        <v>3000</v>
      </c>
    </row>
    <row r="452" spans="1:10" ht="49.5" x14ac:dyDescent="0.25">
      <c r="A452" s="228">
        <v>4</v>
      </c>
      <c r="B452" s="398" t="s">
        <v>13</v>
      </c>
      <c r="C452" s="313">
        <f>SUM(C453:C455)</f>
        <v>2200</v>
      </c>
      <c r="D452" s="313">
        <f>SUM(D453:D455)</f>
        <v>0</v>
      </c>
      <c r="E452" s="313">
        <f>SUM(E453:E455)</f>
        <v>0</v>
      </c>
      <c r="F452" s="313">
        <f>SUM(F453:F455)</f>
        <v>0</v>
      </c>
      <c r="G452" s="411">
        <f>SUM(G453:G455)</f>
        <v>2200</v>
      </c>
    </row>
    <row r="453" spans="1:10" ht="33" x14ac:dyDescent="0.25">
      <c r="A453" s="228" t="s">
        <v>384</v>
      </c>
      <c r="B453" s="229" t="s">
        <v>146</v>
      </c>
      <c r="C453" s="22">
        <f>'целевые показатели'!M172</f>
        <v>150</v>
      </c>
      <c r="D453" s="22">
        <v>0</v>
      </c>
      <c r="E453" s="22">
        <v>0</v>
      </c>
      <c r="F453" s="22">
        <v>0</v>
      </c>
      <c r="G453" s="231">
        <f>C453-F453</f>
        <v>150</v>
      </c>
    </row>
    <row r="454" spans="1:10" ht="33" x14ac:dyDescent="0.25">
      <c r="A454" s="228" t="s">
        <v>423</v>
      </c>
      <c r="B454" s="229" t="s">
        <v>147</v>
      </c>
      <c r="C454" s="22">
        <f>'целевые показатели'!M173</f>
        <v>150</v>
      </c>
      <c r="D454" s="22">
        <v>0</v>
      </c>
      <c r="E454" s="22">
        <v>0</v>
      </c>
      <c r="F454" s="22">
        <v>0</v>
      </c>
      <c r="G454" s="231">
        <f>C454-F454</f>
        <v>150</v>
      </c>
    </row>
    <row r="455" spans="1:10" ht="16.5" x14ac:dyDescent="0.25">
      <c r="A455" s="228" t="s">
        <v>424</v>
      </c>
      <c r="B455" s="229" t="s">
        <v>322</v>
      </c>
      <c r="C455" s="22">
        <f>'целевые показатели'!M195</f>
        <v>1900</v>
      </c>
      <c r="D455" s="22">
        <v>0</v>
      </c>
      <c r="E455" s="22">
        <v>0</v>
      </c>
      <c r="F455" s="22">
        <v>0</v>
      </c>
      <c r="G455" s="231">
        <f>C455-F455</f>
        <v>1900</v>
      </c>
    </row>
    <row r="456" spans="1:10" ht="110.25" x14ac:dyDescent="0.25">
      <c r="A456" s="410">
        <v>5</v>
      </c>
      <c r="B456" s="394" t="s">
        <v>437</v>
      </c>
      <c r="C456" s="313">
        <f>'целевые показатели'!M205</f>
        <v>90490.606070000009</v>
      </c>
      <c r="D456" s="313">
        <f>'целевые показатели'!M209</f>
        <v>80627.100000000006</v>
      </c>
      <c r="E456" s="313">
        <v>0</v>
      </c>
      <c r="F456" s="313">
        <f>'целевые показатели'!M210</f>
        <v>8958.6</v>
      </c>
      <c r="G456" s="411">
        <f>'целевые показатели'!M211</f>
        <v>904.90607</v>
      </c>
      <c r="H456" s="236">
        <f>'целевые показатели'!M205</f>
        <v>90490.606070000009</v>
      </c>
    </row>
    <row r="457" spans="1:10" ht="31.5" x14ac:dyDescent="0.25">
      <c r="A457" s="410">
        <v>6</v>
      </c>
      <c r="B457" s="394" t="s">
        <v>295</v>
      </c>
      <c r="C457" s="313">
        <f>C458+C474</f>
        <v>104957.10101</v>
      </c>
      <c r="D457" s="313">
        <f t="shared" ref="D457:E457" si="29">SUM(D458:D474)</f>
        <v>0</v>
      </c>
      <c r="E457" s="313">
        <f t="shared" si="29"/>
        <v>0</v>
      </c>
      <c r="F457" s="313">
        <f>SUM(F458)</f>
        <v>99999.999999899999</v>
      </c>
      <c r="G457" s="411">
        <f>G458+G474</f>
        <v>4957.1010100999993</v>
      </c>
      <c r="I457" s="245">
        <v>349817.2</v>
      </c>
      <c r="J457" s="174" t="s">
        <v>699</v>
      </c>
    </row>
    <row r="458" spans="1:10" ht="47.25" x14ac:dyDescent="0.25">
      <c r="A458" s="494" t="s">
        <v>712</v>
      </c>
      <c r="B458" s="18" t="s">
        <v>735</v>
      </c>
      <c r="C458" s="22">
        <v>101010.10101</v>
      </c>
      <c r="D458" s="22">
        <v>0</v>
      </c>
      <c r="E458" s="22">
        <v>0</v>
      </c>
      <c r="F458" s="22">
        <f>C458*0.99</f>
        <v>99999.999999899999</v>
      </c>
      <c r="G458" s="231">
        <f>C458-F458</f>
        <v>1010.1010100999993</v>
      </c>
      <c r="I458" s="236">
        <f>F457-100000</f>
        <v>-1.0000076144933701E-7</v>
      </c>
      <c r="J458" s="22">
        <v>84904.697069999995</v>
      </c>
    </row>
    <row r="459" spans="1:10" ht="38.25" hidden="1" customHeight="1" x14ac:dyDescent="0.25">
      <c r="A459" s="494" t="s">
        <v>713</v>
      </c>
      <c r="B459" s="18" t="e">
        <f>'целевые показатели'!#REF!</f>
        <v>#REF!</v>
      </c>
      <c r="C459" s="22" t="e">
        <f>'целевые показатели'!#REF!</f>
        <v>#REF!</v>
      </c>
      <c r="D459" s="22">
        <v>0</v>
      </c>
      <c r="E459" s="22">
        <v>0</v>
      </c>
      <c r="F459" s="22" t="e">
        <f t="shared" ref="F459:F465" si="30">C459*0.99</f>
        <v>#REF!</v>
      </c>
      <c r="G459" s="231" t="e">
        <f t="shared" ref="G459:G465" si="31">C459-F459</f>
        <v>#REF!</v>
      </c>
    </row>
    <row r="460" spans="1:10" hidden="1" x14ac:dyDescent="0.25">
      <c r="A460" s="494" t="s">
        <v>714</v>
      </c>
      <c r="B460" s="18" t="str">
        <f>'целевые показатели'!B255</f>
        <v>ул.Сурена-Шаумяна</v>
      </c>
      <c r="C460" s="22">
        <f>'целевые показатели'!M255</f>
        <v>0</v>
      </c>
      <c r="D460" s="22">
        <v>0</v>
      </c>
      <c r="E460" s="22">
        <v>0</v>
      </c>
      <c r="F460" s="22">
        <f t="shared" si="30"/>
        <v>0</v>
      </c>
      <c r="G460" s="231">
        <f t="shared" si="31"/>
        <v>0</v>
      </c>
      <c r="I460" s="236" t="s">
        <v>700</v>
      </c>
    </row>
    <row r="461" spans="1:10" hidden="1" x14ac:dyDescent="0.25">
      <c r="A461" s="494" t="s">
        <v>715</v>
      </c>
      <c r="B461" s="18" t="str">
        <f>'целевые показатели'!B256</f>
        <v>ул.1-ая Посадская от ул.Комсомольская до Тургеневского моста</v>
      </c>
      <c r="C461" s="22">
        <f>'целевые показатели'!M256</f>
        <v>0</v>
      </c>
      <c r="D461" s="22">
        <v>0</v>
      </c>
      <c r="E461" s="22">
        <v>0</v>
      </c>
      <c r="F461" s="22">
        <f t="shared" si="30"/>
        <v>0</v>
      </c>
      <c r="G461" s="231">
        <f t="shared" si="31"/>
        <v>0</v>
      </c>
      <c r="I461" s="236" t="s">
        <v>426</v>
      </c>
    </row>
    <row r="462" spans="1:10" ht="31.5" hidden="1" x14ac:dyDescent="0.25">
      <c r="A462" s="494" t="s">
        <v>716</v>
      </c>
      <c r="B462" s="18" t="str">
        <f>'целевые показатели'!B386</f>
        <v xml:space="preserve">Капитальный ремонт улично-дорожной сети города Орла по пер.Почтовый от ул. Пролетарская Гора до д.16 </v>
      </c>
      <c r="C462" s="22">
        <f>'целевые показатели'!M386</f>
        <v>0</v>
      </c>
      <c r="D462" s="22">
        <v>0</v>
      </c>
      <c r="E462" s="22">
        <v>0</v>
      </c>
      <c r="F462" s="22">
        <f t="shared" si="30"/>
        <v>0</v>
      </c>
      <c r="G462" s="231">
        <f t="shared" si="31"/>
        <v>0</v>
      </c>
      <c r="I462" s="236" t="s">
        <v>427</v>
      </c>
    </row>
    <row r="463" spans="1:10" ht="31.5" hidden="1" x14ac:dyDescent="0.25">
      <c r="A463" s="494" t="s">
        <v>717</v>
      </c>
      <c r="B463" s="18" t="str">
        <f>'целевые показатели'!B387</f>
        <v>Капитальный ремонт улично-дорожной сети города Орла по пер. Почтовый от д.6 до ул. Ленина</v>
      </c>
      <c r="C463" s="22">
        <f>'целевые показатели'!M387</f>
        <v>0</v>
      </c>
      <c r="D463" s="22">
        <v>0</v>
      </c>
      <c r="E463" s="22">
        <v>0</v>
      </c>
      <c r="F463" s="22">
        <f t="shared" si="30"/>
        <v>0</v>
      </c>
      <c r="G463" s="231">
        <f t="shared" si="31"/>
        <v>0</v>
      </c>
      <c r="I463" s="236" t="s">
        <v>300</v>
      </c>
    </row>
    <row r="464" spans="1:10" ht="31.5" hidden="1" x14ac:dyDescent="0.25">
      <c r="A464" s="494" t="s">
        <v>718</v>
      </c>
      <c r="B464" s="18" t="str">
        <f>'целевые показатели'!B388</f>
        <v>Капитальный ремонт улично-дорожной сети города Орла: ул.Карачевская, ул.Гостиная, ул.Пушкина</v>
      </c>
      <c r="C464" s="22">
        <f>'целевые показатели'!M388</f>
        <v>0</v>
      </c>
      <c r="D464" s="22">
        <v>0</v>
      </c>
      <c r="E464" s="22">
        <v>0</v>
      </c>
      <c r="F464" s="22">
        <f t="shared" si="30"/>
        <v>0</v>
      </c>
      <c r="G464" s="239">
        <f>26870.9149000002+2660220.5751-2687091.49</f>
        <v>0</v>
      </c>
      <c r="H464" s="238" t="s">
        <v>676</v>
      </c>
      <c r="I464" s="236" t="s">
        <v>301</v>
      </c>
    </row>
    <row r="465" spans="1:9" ht="47.25" hidden="1" x14ac:dyDescent="0.25">
      <c r="A465" s="494" t="s">
        <v>714</v>
      </c>
      <c r="B465" s="18" t="str">
        <f>'целевые показатели'!B397</f>
        <v>Капитальный ремонт улично-дорожной сети города Орла по ул.Колхозная (на участке от моста в створе ул.Колхозная до ул. Энгельса)</v>
      </c>
      <c r="C465" s="22">
        <v>86000</v>
      </c>
      <c r="D465" s="22">
        <v>0</v>
      </c>
      <c r="E465" s="22">
        <v>0</v>
      </c>
      <c r="F465" s="22">
        <f t="shared" si="30"/>
        <v>85140</v>
      </c>
      <c r="G465" s="231">
        <f t="shared" si="31"/>
        <v>860</v>
      </c>
    </row>
    <row r="466" spans="1:9" ht="47.25" hidden="1" x14ac:dyDescent="0.25">
      <c r="A466" s="494" t="s">
        <v>715</v>
      </c>
      <c r="B466" s="169" t="s">
        <v>734</v>
      </c>
      <c r="C466" s="172">
        <v>171900</v>
      </c>
      <c r="D466" s="22">
        <v>0</v>
      </c>
      <c r="E466" s="22">
        <v>0</v>
      </c>
      <c r="F466" s="22">
        <f>C466*0.99</f>
        <v>170181</v>
      </c>
      <c r="G466" s="22">
        <f>C466-F466</f>
        <v>1719</v>
      </c>
    </row>
    <row r="467" spans="1:9" ht="31.5" hidden="1" x14ac:dyDescent="0.25">
      <c r="A467" s="494" t="s">
        <v>716</v>
      </c>
      <c r="B467" s="169" t="s">
        <v>733</v>
      </c>
      <c r="C467" s="172">
        <v>101200</v>
      </c>
      <c r="D467" s="22">
        <v>0</v>
      </c>
      <c r="E467" s="22">
        <v>0</v>
      </c>
      <c r="F467" s="22">
        <f t="shared" ref="F467:F473" si="32">C467*0.99</f>
        <v>100188</v>
      </c>
      <c r="G467" s="22">
        <f t="shared" ref="G467:G473" si="33">C467-F467</f>
        <v>1012</v>
      </c>
    </row>
    <row r="468" spans="1:9" hidden="1" x14ac:dyDescent="0.25">
      <c r="A468" s="494" t="s">
        <v>717</v>
      </c>
      <c r="B468" s="169" t="s">
        <v>731</v>
      </c>
      <c r="C468" s="172">
        <v>191400</v>
      </c>
      <c r="D468" s="22">
        <v>0</v>
      </c>
      <c r="E468" s="22">
        <v>0</v>
      </c>
      <c r="F468" s="22">
        <f t="shared" si="32"/>
        <v>189486</v>
      </c>
      <c r="G468" s="22">
        <f t="shared" si="33"/>
        <v>1914</v>
      </c>
    </row>
    <row r="469" spans="1:9" ht="25.5" hidden="1" customHeight="1" x14ac:dyDescent="0.25">
      <c r="A469" s="494" t="s">
        <v>718</v>
      </c>
      <c r="B469" s="169" t="s">
        <v>727</v>
      </c>
      <c r="C469" s="172">
        <v>110000</v>
      </c>
      <c r="D469" s="22">
        <v>0</v>
      </c>
      <c r="E469" s="22">
        <v>0</v>
      </c>
      <c r="F469" s="22">
        <f t="shared" si="32"/>
        <v>108900</v>
      </c>
      <c r="G469" s="22">
        <f t="shared" si="33"/>
        <v>1100</v>
      </c>
    </row>
    <row r="470" spans="1:9" ht="31.5" hidden="1" x14ac:dyDescent="0.25">
      <c r="A470" s="494" t="s">
        <v>719</v>
      </c>
      <c r="B470" s="169" t="s">
        <v>728</v>
      </c>
      <c r="C470" s="172">
        <v>324500</v>
      </c>
      <c r="D470" s="22">
        <v>0</v>
      </c>
      <c r="E470" s="22">
        <v>0</v>
      </c>
      <c r="F470" s="22">
        <f t="shared" si="32"/>
        <v>321255</v>
      </c>
      <c r="G470" s="22">
        <f t="shared" si="33"/>
        <v>3245</v>
      </c>
    </row>
    <row r="471" spans="1:9" ht="31.5" hidden="1" x14ac:dyDescent="0.25">
      <c r="A471" s="494" t="s">
        <v>720</v>
      </c>
      <c r="B471" s="169" t="s">
        <v>729</v>
      </c>
      <c r="C471" s="172">
        <v>309100</v>
      </c>
      <c r="D471" s="22">
        <v>0</v>
      </c>
      <c r="E471" s="22">
        <v>0</v>
      </c>
      <c r="F471" s="22">
        <f t="shared" si="32"/>
        <v>306009</v>
      </c>
      <c r="G471" s="22">
        <f t="shared" si="33"/>
        <v>3091</v>
      </c>
    </row>
    <row r="472" spans="1:9" ht="31.5" hidden="1" x14ac:dyDescent="0.25">
      <c r="A472" s="494" t="s">
        <v>721</v>
      </c>
      <c r="B472" s="169" t="s">
        <v>730</v>
      </c>
      <c r="C472" s="172">
        <v>25000</v>
      </c>
      <c r="D472" s="22">
        <v>0</v>
      </c>
      <c r="E472" s="22">
        <v>0</v>
      </c>
      <c r="F472" s="22">
        <f t="shared" si="32"/>
        <v>24750</v>
      </c>
      <c r="G472" s="22">
        <f t="shared" si="33"/>
        <v>250</v>
      </c>
    </row>
    <row r="473" spans="1:9" ht="47.25" hidden="1" x14ac:dyDescent="0.25">
      <c r="A473" s="494" t="s">
        <v>722</v>
      </c>
      <c r="B473" s="169" t="s">
        <v>732</v>
      </c>
      <c r="C473" s="22">
        <v>160600</v>
      </c>
      <c r="D473" s="22">
        <v>0</v>
      </c>
      <c r="E473" s="22">
        <v>0</v>
      </c>
      <c r="F473" s="22">
        <f t="shared" si="32"/>
        <v>158994</v>
      </c>
      <c r="G473" s="22">
        <f t="shared" si="33"/>
        <v>1606</v>
      </c>
    </row>
    <row r="474" spans="1:9" ht="31.5" x14ac:dyDescent="0.25">
      <c r="A474" s="494" t="s">
        <v>713</v>
      </c>
      <c r="B474" s="18" t="str">
        <f>'целевые показатели'!B398</f>
        <v>разработка проектно-сметной документации и проведение проверки достоверности сметной стоимости</v>
      </c>
      <c r="C474" s="22">
        <v>3947</v>
      </c>
      <c r="D474" s="22">
        <v>0</v>
      </c>
      <c r="E474" s="22">
        <v>0</v>
      </c>
      <c r="F474" s="22">
        <v>0</v>
      </c>
      <c r="G474" s="22">
        <v>3947</v>
      </c>
      <c r="I474" s="236">
        <f>I458/99*100</f>
        <v>-1.0101087015084546E-7</v>
      </c>
    </row>
    <row r="475" spans="1:9" ht="15" customHeight="1" x14ac:dyDescent="0.25">
      <c r="C475" s="34"/>
      <c r="D475" s="34"/>
      <c r="E475" s="34"/>
      <c r="F475" s="34"/>
      <c r="G475" s="34"/>
    </row>
    <row r="476" spans="1:9" hidden="1" x14ac:dyDescent="0.25">
      <c r="B476" s="124"/>
      <c r="C476" s="34"/>
      <c r="D476" s="34"/>
      <c r="E476" s="34"/>
      <c r="F476" s="34"/>
      <c r="G476" s="34"/>
    </row>
    <row r="477" spans="1:9" hidden="1" x14ac:dyDescent="0.25">
      <c r="B477" s="124"/>
      <c r="C477" s="34"/>
      <c r="D477" s="34"/>
      <c r="E477" s="34"/>
      <c r="F477" s="34"/>
      <c r="G477" s="34"/>
    </row>
    <row r="478" spans="1:9" hidden="1" x14ac:dyDescent="0.25">
      <c r="B478" s="124"/>
      <c r="C478" s="34"/>
      <c r="D478" s="34"/>
      <c r="E478" s="34"/>
      <c r="F478" s="34"/>
      <c r="G478" s="34"/>
    </row>
    <row r="479" spans="1:9" hidden="1" x14ac:dyDescent="0.25">
      <c r="B479" s="124"/>
      <c r="C479" s="34"/>
      <c r="D479" s="34"/>
      <c r="E479" s="34"/>
      <c r="F479" s="34"/>
      <c r="G479" s="34"/>
    </row>
    <row r="480" spans="1:9" hidden="1" x14ac:dyDescent="0.25">
      <c r="B480" s="124"/>
      <c r="C480" s="34"/>
      <c r="D480" s="34"/>
      <c r="E480" s="34"/>
      <c r="F480" s="34"/>
      <c r="G480" s="34"/>
    </row>
    <row r="481" spans="2:7" hidden="1" x14ac:dyDescent="0.25">
      <c r="B481" s="124"/>
      <c r="C481" s="34"/>
      <c r="D481" s="34"/>
      <c r="E481" s="34"/>
      <c r="F481" s="34"/>
      <c r="G481" s="34"/>
    </row>
    <row r="482" spans="2:7" hidden="1" x14ac:dyDescent="0.25">
      <c r="B482" s="124"/>
      <c r="C482" s="34"/>
      <c r="D482" s="34"/>
      <c r="E482" s="34"/>
      <c r="F482" s="34"/>
      <c r="G482" s="34"/>
    </row>
    <row r="483" spans="2:7" hidden="1" x14ac:dyDescent="0.25">
      <c r="B483" s="124"/>
      <c r="C483" s="34"/>
      <c r="D483" s="34"/>
      <c r="E483" s="34"/>
      <c r="F483" s="34"/>
      <c r="G483" s="34"/>
    </row>
    <row r="484" spans="2:7" hidden="1" x14ac:dyDescent="0.25">
      <c r="B484" s="124"/>
      <c r="C484" s="34"/>
      <c r="D484" s="34"/>
      <c r="E484" s="34"/>
      <c r="F484" s="34"/>
      <c r="G484" s="34"/>
    </row>
    <row r="485" spans="2:7" hidden="1" x14ac:dyDescent="0.25">
      <c r="B485" s="124"/>
      <c r="C485" s="34"/>
      <c r="D485" s="34"/>
      <c r="E485" s="34"/>
      <c r="F485" s="34"/>
      <c r="G485" s="34"/>
    </row>
    <row r="486" spans="2:7" hidden="1" x14ac:dyDescent="0.25">
      <c r="B486" s="124"/>
      <c r="C486" s="34"/>
      <c r="D486" s="34"/>
      <c r="E486" s="34"/>
      <c r="F486" s="34"/>
      <c r="G486" s="34"/>
    </row>
    <row r="487" spans="2:7" hidden="1" x14ac:dyDescent="0.25">
      <c r="B487" s="124"/>
      <c r="C487" s="34"/>
      <c r="D487" s="34"/>
      <c r="E487" s="34"/>
      <c r="F487" s="34"/>
      <c r="G487" s="34"/>
    </row>
    <row r="488" spans="2:7" hidden="1" x14ac:dyDescent="0.25">
      <c r="B488" s="124"/>
      <c r="C488" s="34"/>
      <c r="D488" s="34"/>
      <c r="E488" s="34"/>
      <c r="F488" s="34"/>
      <c r="G488" s="34"/>
    </row>
    <row r="489" spans="2:7" hidden="1" x14ac:dyDescent="0.25">
      <c r="B489" s="124"/>
      <c r="C489" s="34"/>
      <c r="D489" s="34"/>
      <c r="E489" s="34"/>
      <c r="F489" s="34"/>
      <c r="G489" s="34"/>
    </row>
    <row r="490" spans="2:7" hidden="1" x14ac:dyDescent="0.25">
      <c r="B490" s="124"/>
      <c r="C490" s="34"/>
      <c r="D490" s="34"/>
      <c r="E490" s="34"/>
      <c r="F490" s="34"/>
      <c r="G490" s="34"/>
    </row>
    <row r="491" spans="2:7" hidden="1" x14ac:dyDescent="0.25"/>
    <row r="492" spans="2:7" hidden="1" x14ac:dyDescent="0.25"/>
    <row r="493" spans="2:7" ht="57.75" customHeight="1" x14ac:dyDescent="0.25">
      <c r="B493" s="753" t="s">
        <v>901</v>
      </c>
      <c r="C493" s="754"/>
      <c r="D493" s="309"/>
      <c r="E493" s="225"/>
      <c r="G493" s="309" t="s">
        <v>128</v>
      </c>
    </row>
  </sheetData>
  <mergeCells count="23">
    <mergeCell ref="A435:G435"/>
    <mergeCell ref="F15:F16"/>
    <mergeCell ref="G15:G16"/>
    <mergeCell ref="A134:G134"/>
    <mergeCell ref="A215:G215"/>
    <mergeCell ref="A333:G333"/>
    <mergeCell ref="E15:E16"/>
    <mergeCell ref="B493:C493"/>
    <mergeCell ref="K29:L29"/>
    <mergeCell ref="C1:G1"/>
    <mergeCell ref="C2:G2"/>
    <mergeCell ref="C3:G3"/>
    <mergeCell ref="C4:G4"/>
    <mergeCell ref="A13:G13"/>
    <mergeCell ref="C6:G6"/>
    <mergeCell ref="C7:G7"/>
    <mergeCell ref="A11:G11"/>
    <mergeCell ref="B8:G8"/>
    <mergeCell ref="A12:G12"/>
    <mergeCell ref="A18:G18"/>
    <mergeCell ref="A15:A16"/>
    <mergeCell ref="B15:B16"/>
    <mergeCell ref="D15:D16"/>
  </mergeCells>
  <phoneticPr fontId="81" type="noConversion"/>
  <pageMargins left="0.70866141732283472" right="0.70866141732283472" top="0.74803149606299213" bottom="0.74803149606299213" header="0.31496062992125984" footer="0.31496062992125984"/>
  <pageSetup paperSize="9" scale="50" fitToHeight="0" orientation="portrait" horizontalDpi="4294967295" verticalDpi="4294967295" r:id="rId1"/>
  <headerFooter scaleWithDoc="0"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54"/>
  <sheetViews>
    <sheetView topLeftCell="A17" zoomScaleNormal="100" workbookViewId="0">
      <selection activeCell="G27" sqref="G27:I27"/>
    </sheetView>
  </sheetViews>
  <sheetFormatPr defaultRowHeight="15.75" outlineLevelRow="1" x14ac:dyDescent="0.25"/>
  <cols>
    <col min="1" max="1" width="6.7109375" style="4" customWidth="1"/>
    <col min="2" max="2" width="62.42578125" style="4" bestFit="1" customWidth="1"/>
    <col min="3" max="3" width="10.7109375" style="4" bestFit="1" customWidth="1"/>
    <col min="4" max="4" width="14.7109375" style="4" hidden="1" customWidth="1"/>
    <col min="5" max="9" width="14.7109375" style="4" customWidth="1"/>
    <col min="10" max="10" width="21.85546875" style="4" customWidth="1"/>
    <col min="11" max="11" width="14.140625" style="3" customWidth="1"/>
    <col min="12" max="12" width="13.7109375" style="3" customWidth="1"/>
    <col min="13" max="13" width="12.42578125" style="4" customWidth="1"/>
    <col min="14" max="14" width="14" style="4" customWidth="1"/>
    <col min="15" max="16" width="14.7109375" style="4" customWidth="1"/>
    <col min="17" max="16384" width="9.140625" style="4"/>
  </cols>
  <sheetData>
    <row r="1" spans="1:16" outlineLevel="1" x14ac:dyDescent="0.25">
      <c r="D1" s="757" t="s">
        <v>267</v>
      </c>
      <c r="E1" s="758"/>
      <c r="F1" s="758"/>
      <c r="G1" s="758"/>
      <c r="H1" s="128"/>
      <c r="I1" s="128"/>
      <c r="J1" s="128"/>
    </row>
    <row r="2" spans="1:16" outlineLevel="1" x14ac:dyDescent="0.25">
      <c r="D2" s="757" t="s">
        <v>135</v>
      </c>
      <c r="E2" s="758"/>
      <c r="F2" s="758"/>
      <c r="G2" s="758"/>
      <c r="H2" s="128"/>
      <c r="I2" s="128"/>
      <c r="J2" s="128"/>
    </row>
    <row r="3" spans="1:16" outlineLevel="1" x14ac:dyDescent="0.25">
      <c r="D3" s="757" t="s">
        <v>125</v>
      </c>
      <c r="E3" s="758"/>
      <c r="F3" s="758"/>
      <c r="G3" s="758"/>
      <c r="H3" s="128"/>
      <c r="I3" s="128"/>
      <c r="J3" s="128"/>
    </row>
    <row r="4" spans="1:16" outlineLevel="1" x14ac:dyDescent="0.25">
      <c r="D4" s="757" t="s">
        <v>434</v>
      </c>
      <c r="E4" s="758"/>
      <c r="F4" s="758"/>
      <c r="G4" s="758"/>
      <c r="H4" s="128"/>
      <c r="I4" s="128"/>
      <c r="J4" s="128"/>
    </row>
    <row r="5" spans="1:16" outlineLevel="1" x14ac:dyDescent="0.25">
      <c r="D5" s="3"/>
      <c r="E5" s="128"/>
      <c r="F5" s="128"/>
      <c r="G5" s="128"/>
      <c r="H5" s="128"/>
      <c r="I5" s="128"/>
      <c r="J5" s="128"/>
    </row>
    <row r="6" spans="1:16" outlineLevel="1" x14ac:dyDescent="0.25">
      <c r="D6" s="3"/>
      <c r="E6" s="128"/>
      <c r="F6" s="128"/>
      <c r="G6" s="128"/>
      <c r="H6" s="128"/>
      <c r="I6" s="128"/>
      <c r="J6" s="128"/>
    </row>
    <row r="7" spans="1:16" ht="19.5" customHeight="1" outlineLevel="1" x14ac:dyDescent="0.25">
      <c r="C7" s="651" t="s">
        <v>89</v>
      </c>
      <c r="D7" s="651"/>
      <c r="E7" s="651"/>
      <c r="F7" s="651"/>
      <c r="G7" s="651"/>
      <c r="H7" s="223"/>
      <c r="I7" s="223"/>
      <c r="J7" s="223"/>
    </row>
    <row r="8" spans="1:16" ht="19.5" customHeight="1" outlineLevel="1" x14ac:dyDescent="0.25">
      <c r="A8" s="5"/>
      <c r="C8" s="759" t="s">
        <v>145</v>
      </c>
      <c r="D8" s="651"/>
      <c r="E8" s="651"/>
      <c r="F8" s="651"/>
      <c r="G8" s="651"/>
      <c r="H8" s="775"/>
      <c r="I8" s="223"/>
      <c r="J8" s="223"/>
    </row>
    <row r="9" spans="1:16" ht="19.5" customHeight="1" outlineLevel="1" x14ac:dyDescent="0.25">
      <c r="A9" s="5"/>
      <c r="C9" s="759" t="s">
        <v>87</v>
      </c>
      <c r="D9" s="651"/>
      <c r="E9" s="651"/>
      <c r="F9" s="651"/>
      <c r="G9" s="651"/>
      <c r="H9" s="775"/>
      <c r="I9" s="223"/>
      <c r="J9" s="223"/>
    </row>
    <row r="10" spans="1:16" ht="19.5" customHeight="1" outlineLevel="1" x14ac:dyDescent="0.25">
      <c r="A10" s="5"/>
      <c r="C10" s="651"/>
      <c r="D10" s="651"/>
      <c r="E10" s="651"/>
      <c r="F10" s="651"/>
      <c r="G10" s="651"/>
      <c r="H10" s="223"/>
      <c r="I10" s="223"/>
      <c r="J10" s="223"/>
    </row>
    <row r="11" spans="1:16" x14ac:dyDescent="0.25">
      <c r="A11" s="1"/>
    </row>
    <row r="12" spans="1:16" ht="21" customHeight="1" x14ac:dyDescent="0.25">
      <c r="A12" s="757"/>
      <c r="B12" s="757"/>
      <c r="C12" s="757"/>
      <c r="D12" s="757"/>
      <c r="E12" s="757"/>
      <c r="F12" s="757"/>
      <c r="G12" s="757"/>
      <c r="H12" s="3"/>
      <c r="I12" s="3"/>
      <c r="J12" s="3"/>
    </row>
    <row r="13" spans="1:16" ht="21" customHeight="1" x14ac:dyDescent="0.25">
      <c r="A13" s="651" t="s">
        <v>98</v>
      </c>
      <c r="B13" s="651"/>
      <c r="C13" s="651"/>
      <c r="D13" s="651"/>
      <c r="E13" s="651"/>
      <c r="F13" s="651"/>
      <c r="G13" s="651"/>
      <c r="H13" s="223"/>
      <c r="I13" s="223"/>
      <c r="J13" s="223"/>
      <c r="O13" s="4">
        <f>79132+59760</f>
        <v>138892</v>
      </c>
    </row>
    <row r="14" spans="1:16" x14ac:dyDescent="0.25">
      <c r="A14" s="3"/>
    </row>
    <row r="15" spans="1:16" ht="18" customHeight="1" x14ac:dyDescent="0.25">
      <c r="A15" s="772" t="s">
        <v>90</v>
      </c>
      <c r="B15" s="772" t="s">
        <v>91</v>
      </c>
      <c r="C15" s="772" t="s">
        <v>92</v>
      </c>
      <c r="D15" s="772" t="s">
        <v>93</v>
      </c>
      <c r="E15" s="773"/>
      <c r="F15" s="773"/>
      <c r="G15" s="773"/>
      <c r="H15" s="774"/>
      <c r="I15" s="774"/>
      <c r="J15" s="59"/>
      <c r="M15" s="3"/>
      <c r="N15" s="3"/>
      <c r="O15" s="3"/>
      <c r="P15" s="3"/>
    </row>
    <row r="16" spans="1:16" ht="42" customHeight="1" x14ac:dyDescent="0.25">
      <c r="A16" s="772"/>
      <c r="B16" s="772"/>
      <c r="C16" s="772"/>
      <c r="D16" s="122" t="s">
        <v>112</v>
      </c>
      <c r="E16" s="122" t="s">
        <v>6</v>
      </c>
      <c r="F16" s="122" t="s">
        <v>18</v>
      </c>
      <c r="G16" s="122" t="s">
        <v>19</v>
      </c>
      <c r="H16" s="122" t="s">
        <v>20</v>
      </c>
      <c r="I16" s="122" t="s">
        <v>21</v>
      </c>
      <c r="J16" s="227"/>
      <c r="L16" s="130"/>
    </row>
    <row r="17" spans="1:16" ht="18.75" x14ac:dyDescent="0.25">
      <c r="A17" s="122">
        <v>1</v>
      </c>
      <c r="B17" s="122">
        <v>2</v>
      </c>
      <c r="C17" s="122">
        <v>3</v>
      </c>
      <c r="D17" s="122">
        <v>4</v>
      </c>
      <c r="E17" s="122">
        <v>5</v>
      </c>
      <c r="F17" s="122">
        <v>6</v>
      </c>
      <c r="G17" s="122">
        <v>7</v>
      </c>
      <c r="H17" s="122">
        <v>8</v>
      </c>
      <c r="I17" s="122">
        <v>9</v>
      </c>
      <c r="J17" s="227"/>
      <c r="L17" s="131"/>
      <c r="M17" s="131"/>
      <c r="N17" s="131"/>
      <c r="O17" s="131"/>
      <c r="P17" s="131"/>
    </row>
    <row r="18" spans="1:16" ht="37.5" x14ac:dyDescent="0.3">
      <c r="A18" s="132">
        <v>1</v>
      </c>
      <c r="B18" s="133" t="s">
        <v>142</v>
      </c>
      <c r="C18" s="21" t="s">
        <v>94</v>
      </c>
      <c r="D18" s="64">
        <v>336584</v>
      </c>
      <c r="E18" s="64">
        <f>SUM('целевые показатели'!F44:F55,'целевые показатели'!F142:F144)</f>
        <v>169644.1</v>
      </c>
      <c r="F18" s="64">
        <f>SUM('целевые показатели'!F119,'целевые показатели'!F145:F147,'целевые показатели'!F155:F156,'целевые показатели'!F245:F251,'целевые показатели'!F257:F262)</f>
        <v>220540</v>
      </c>
      <c r="G18" s="64">
        <f>SUM('целевые показатели'!F148:F148,'целевые показатели'!F252:F252,'целевые показатели'!F263:F318,'целевые показатели'!F60:F153)</f>
        <v>849963</v>
      </c>
      <c r="H18" s="64">
        <f>SUM('целевые показатели'!F328:F385,'целевые показатели'!F158:F158,'целевые показатели'!F253)</f>
        <v>186426</v>
      </c>
      <c r="I18" s="64">
        <f>SUM('целевые показатели'!F157,'целевые показатели'!F254:F256,'целевые показатели'!F386:F397)</f>
        <v>142252.4</v>
      </c>
      <c r="J18" s="449">
        <f>SUM(E18:I18)</f>
        <v>1568825.5</v>
      </c>
      <c r="K18" s="173">
        <f>'целевые показатели'!F42+'целевые показатели'!F140+'целевые показатели'!F242</f>
        <v>1083095.1600000001</v>
      </c>
      <c r="L18" s="173">
        <f>J18-K18</f>
        <v>485730.33999999985</v>
      </c>
      <c r="M18" s="58"/>
      <c r="N18" s="58"/>
      <c r="O18" s="58"/>
      <c r="P18" s="58"/>
    </row>
    <row r="19" spans="1:16" ht="37.5" x14ac:dyDescent="0.3">
      <c r="A19" s="132">
        <v>2</v>
      </c>
      <c r="B19" s="133" t="s">
        <v>137</v>
      </c>
      <c r="C19" s="21" t="s">
        <v>94</v>
      </c>
      <c r="D19" s="64">
        <v>80000</v>
      </c>
      <c r="E19" s="64">
        <v>40000</v>
      </c>
      <c r="F19" s="64">
        <v>40000</v>
      </c>
      <c r="G19" s="64">
        <v>40000</v>
      </c>
      <c r="H19" s="64">
        <v>40000</v>
      </c>
      <c r="I19" s="64">
        <v>40000</v>
      </c>
      <c r="J19" s="450"/>
      <c r="K19" s="58"/>
      <c r="M19" s="3"/>
      <c r="N19" s="3"/>
      <c r="O19" s="134"/>
      <c r="P19" s="130"/>
    </row>
    <row r="20" spans="1:16" ht="115.5" customHeight="1" x14ac:dyDescent="0.3">
      <c r="A20" s="132">
        <v>3</v>
      </c>
      <c r="B20" s="133" t="s">
        <v>143</v>
      </c>
      <c r="C20" s="21" t="s">
        <v>105</v>
      </c>
      <c r="D20" s="57">
        <f>SUM(C38:C39)</f>
        <v>28.045999999999999</v>
      </c>
      <c r="E20" s="57">
        <f>SUM('целевые показатели'!G45:G55,'целевые показатели'!G142:G144)</f>
        <v>14.6</v>
      </c>
      <c r="F20" s="218">
        <f>SUM('целевые показатели'!G119,'целевые показатели'!G145:G147,'целевые показатели'!G155:G156,'целевые показатели'!G245:G251,'целевые показатели'!G257:G262)</f>
        <v>24.007999999999999</v>
      </c>
      <c r="G20" s="57">
        <f>SUM('целевые показатели'!G148:G148,'целевые показатели'!G252:G252,'целевые показатели'!G263:G318,'целевые показатели'!G60:G153)</f>
        <v>64.363700000000023</v>
      </c>
      <c r="H20" s="57">
        <f>SUM('целевые показатели'!G158:G158,'целевые показатели'!G328:G385)</f>
        <v>35.583999999999996</v>
      </c>
      <c r="I20" s="57">
        <f>SUM('целевые показатели'!G386:G397,'целевые показатели'!G254:G256,'целевые показатели'!G157)</f>
        <v>11.244400000000001</v>
      </c>
      <c r="J20" s="451">
        <f>SUM(E20:I20)</f>
        <v>149.80010000000004</v>
      </c>
      <c r="K20" s="3">
        <f>'целевые показатели'!F43+'целевые показатели'!F141+'целевые показатели'!F243</f>
        <v>148.24730000000005</v>
      </c>
      <c r="L20" s="135">
        <f>SUM(E20:I20)</f>
        <v>149.80010000000004</v>
      </c>
      <c r="M20" s="136">
        <f>(L20+L21)/461.3</f>
        <v>0.3247346629091698</v>
      </c>
      <c r="N20" s="1" t="s">
        <v>276</v>
      </c>
    </row>
    <row r="21" spans="1:16" ht="62.25" customHeight="1" x14ac:dyDescent="0.3">
      <c r="A21" s="132">
        <v>4</v>
      </c>
      <c r="B21" s="133" t="s">
        <v>97</v>
      </c>
      <c r="C21" s="21" t="s">
        <v>96</v>
      </c>
      <c r="D21" s="21">
        <v>18</v>
      </c>
      <c r="E21" s="21">
        <v>200</v>
      </c>
      <c r="F21" s="21">
        <v>0</v>
      </c>
      <c r="G21" s="21">
        <v>0</v>
      </c>
      <c r="H21" s="21">
        <v>0</v>
      </c>
      <c r="I21" s="64">
        <v>0</v>
      </c>
      <c r="J21" s="450"/>
      <c r="K21" s="130"/>
      <c r="L21" s="134"/>
      <c r="M21" s="137"/>
    </row>
    <row r="22" spans="1:16" ht="75" hidden="1" outlineLevel="1" x14ac:dyDescent="0.3">
      <c r="A22" s="132">
        <v>5</v>
      </c>
      <c r="B22" s="133" t="s">
        <v>106</v>
      </c>
      <c r="C22" s="21" t="s">
        <v>105</v>
      </c>
      <c r="D22" s="21"/>
      <c r="E22" s="21"/>
      <c r="F22" s="219"/>
      <c r="G22" s="21"/>
      <c r="H22" s="223"/>
      <c r="I22" s="223"/>
      <c r="J22" s="223"/>
    </row>
    <row r="23" spans="1:16" collapsed="1" x14ac:dyDescent="0.25"/>
    <row r="24" spans="1:16" x14ac:dyDescent="0.25">
      <c r="G24" s="117"/>
    </row>
    <row r="25" spans="1:16" s="46" customFormat="1" ht="21" x14ac:dyDescent="0.35">
      <c r="A25" s="46" t="s">
        <v>902</v>
      </c>
      <c r="D25" s="47"/>
      <c r="E25" s="47"/>
      <c r="F25" s="47"/>
      <c r="K25" s="127"/>
      <c r="L25" s="127"/>
    </row>
    <row r="26" spans="1:16" s="46" customFormat="1" ht="20.25" x14ac:dyDescent="0.3">
      <c r="A26" s="46" t="s">
        <v>127</v>
      </c>
      <c r="E26" s="771"/>
      <c r="F26" s="771"/>
      <c r="K26" s="127"/>
      <c r="L26" s="127"/>
    </row>
    <row r="27" spans="1:16" s="46" customFormat="1" ht="20.25" x14ac:dyDescent="0.3">
      <c r="A27" s="46" t="s">
        <v>125</v>
      </c>
      <c r="E27" s="771"/>
      <c r="F27" s="771"/>
      <c r="G27" s="776" t="s">
        <v>128</v>
      </c>
      <c r="H27" s="776"/>
      <c r="I27" s="777"/>
      <c r="J27" s="226"/>
      <c r="K27" s="127"/>
      <c r="L27" s="127"/>
    </row>
    <row r="28" spans="1:16" ht="18.75" x14ac:dyDescent="0.3">
      <c r="A28" s="2"/>
      <c r="B28" s="2"/>
      <c r="C28" s="2"/>
      <c r="D28" s="9"/>
      <c r="E28" s="778"/>
      <c r="F28" s="778"/>
    </row>
    <row r="29" spans="1:16" ht="18.75" x14ac:dyDescent="0.3">
      <c r="A29" s="2"/>
      <c r="B29" s="2"/>
      <c r="C29" s="2"/>
      <c r="D29" s="9"/>
      <c r="E29" s="129"/>
      <c r="F29" s="129"/>
    </row>
    <row r="31" spans="1:16" x14ac:dyDescent="0.25">
      <c r="B31" s="4" t="s">
        <v>113</v>
      </c>
    </row>
    <row r="33" spans="2:13" x14ac:dyDescent="0.25">
      <c r="B33" s="4" t="s">
        <v>117</v>
      </c>
    </row>
    <row r="35" spans="2:13" x14ac:dyDescent="0.25">
      <c r="B35" s="138" t="s">
        <v>115</v>
      </c>
    </row>
    <row r="36" spans="2:13" x14ac:dyDescent="0.25">
      <c r="B36" s="4" t="s">
        <v>116</v>
      </c>
    </row>
    <row r="37" spans="2:13" x14ac:dyDescent="0.25">
      <c r="B37" s="139" t="s">
        <v>122</v>
      </c>
      <c r="C37" s="123">
        <v>86.367999999999995</v>
      </c>
    </row>
    <row r="38" spans="2:13" x14ac:dyDescent="0.25">
      <c r="B38" s="139" t="s">
        <v>120</v>
      </c>
      <c r="C38" s="123">
        <v>11.249000000000001</v>
      </c>
    </row>
    <row r="39" spans="2:13" x14ac:dyDescent="0.25">
      <c r="B39" s="139" t="s">
        <v>121</v>
      </c>
      <c r="C39" s="123">
        <v>16.797000000000001</v>
      </c>
      <c r="D39" s="123">
        <f>C37+C38+C39</f>
        <v>114.41399999999999</v>
      </c>
    </row>
    <row r="41" spans="2:13" x14ac:dyDescent="0.25">
      <c r="B41" s="139" t="s">
        <v>123</v>
      </c>
      <c r="C41" s="123">
        <f>'прил.4 файл не рабочий'!F14</f>
        <v>4.7299999999999995</v>
      </c>
    </row>
    <row r="42" spans="2:13" x14ac:dyDescent="0.25">
      <c r="B42" s="139" t="s">
        <v>124</v>
      </c>
      <c r="C42" s="123">
        <f>'прил.4 файл не рабочий'!G14</f>
        <v>4.8950000000000005</v>
      </c>
      <c r="D42" s="123">
        <f>D39+C41+C42</f>
        <v>124.03899999999999</v>
      </c>
      <c r="E42" s="123" t="s">
        <v>118</v>
      </c>
    </row>
    <row r="43" spans="2:13" x14ac:dyDescent="0.25">
      <c r="C43" s="140">
        <f>(C41+C42)/461.3</f>
        <v>2.0864946889226101E-2</v>
      </c>
      <c r="D43" s="4" t="s">
        <v>119</v>
      </c>
    </row>
    <row r="45" spans="2:13" x14ac:dyDescent="0.25">
      <c r="C45" s="4">
        <f>461.3-114.414</f>
        <v>346.88600000000002</v>
      </c>
      <c r="D45" s="4" t="s">
        <v>242</v>
      </c>
      <c r="L45" s="3">
        <v>2021</v>
      </c>
      <c r="M45" s="141">
        <f>(474-C45)/474</f>
        <v>0.26817299578059067</v>
      </c>
    </row>
    <row r="46" spans="2:13" x14ac:dyDescent="0.25">
      <c r="C46" s="4">
        <f>C45-C41-C42</f>
        <v>337.26100000000002</v>
      </c>
      <c r="D46" s="4" t="s">
        <v>241</v>
      </c>
      <c r="L46" s="3">
        <v>2022</v>
      </c>
      <c r="M46" s="141">
        <f>(474-C46)/474</f>
        <v>0.28847890295358647</v>
      </c>
    </row>
    <row r="47" spans="2:13" x14ac:dyDescent="0.25">
      <c r="C47" s="4">
        <f>C46-C50-C51</f>
        <v>331.601</v>
      </c>
      <c r="D47" s="4" t="s">
        <v>243</v>
      </c>
      <c r="L47" s="3">
        <v>2023</v>
      </c>
      <c r="M47" s="141">
        <f>(474-C47)/474</f>
        <v>0.3004198312236287</v>
      </c>
    </row>
    <row r="48" spans="2:13" x14ac:dyDescent="0.25">
      <c r="C48" s="4" t="e">
        <f>C47-C53-C54</f>
        <v>#REF!</v>
      </c>
      <c r="D48" s="4" t="s">
        <v>244</v>
      </c>
      <c r="L48" s="3">
        <v>2024</v>
      </c>
      <c r="M48" s="141" t="e">
        <f>(474-C48)/474</f>
        <v>#REF!</v>
      </c>
    </row>
    <row r="50" spans="2:3" x14ac:dyDescent="0.25">
      <c r="B50" s="139" t="s">
        <v>237</v>
      </c>
      <c r="C50" s="4">
        <f>SUM('целевые показатели'!G119:G120)</f>
        <v>1.72</v>
      </c>
    </row>
    <row r="51" spans="2:3" x14ac:dyDescent="0.25">
      <c r="B51" s="139" t="s">
        <v>238</v>
      </c>
      <c r="C51" s="4">
        <f>SUM('целевые показатели'!G145:G146)</f>
        <v>3.9400000000000004</v>
      </c>
    </row>
    <row r="53" spans="2:3" x14ac:dyDescent="0.25">
      <c r="B53" s="139" t="s">
        <v>239</v>
      </c>
      <c r="C53" s="4" t="e">
        <f>SUM('целевые показатели'!#REF!)</f>
        <v>#REF!</v>
      </c>
    </row>
    <row r="54" spans="2:3" x14ac:dyDescent="0.25">
      <c r="B54" s="139" t="s">
        <v>240</v>
      </c>
      <c r="C54" s="4">
        <f>SUM('целевые показатели'!G147:G157)</f>
        <v>12.365000000000002</v>
      </c>
    </row>
  </sheetData>
  <mergeCells count="18">
    <mergeCell ref="G27:I27"/>
    <mergeCell ref="E28:F28"/>
    <mergeCell ref="A15:A16"/>
    <mergeCell ref="B15:B16"/>
    <mergeCell ref="C15:C16"/>
    <mergeCell ref="E27:F27"/>
    <mergeCell ref="D1:G1"/>
    <mergeCell ref="D2:G2"/>
    <mergeCell ref="D3:G3"/>
    <mergeCell ref="D4:G4"/>
    <mergeCell ref="E26:F26"/>
    <mergeCell ref="C7:G7"/>
    <mergeCell ref="A12:G12"/>
    <mergeCell ref="A13:G13"/>
    <mergeCell ref="C10:G10"/>
    <mergeCell ref="D15:I15"/>
    <mergeCell ref="C8:H8"/>
    <mergeCell ref="C9:H9"/>
  </mergeCells>
  <pageMargins left="0.70866141732283472" right="0.70866141732283472" top="0.74803149606299213" bottom="0.74803149606299213" header="0.31496062992125984" footer="0.31496062992125984"/>
  <pageSetup paperSize="9" scale="56" orientation="portrait" horizontalDpi="4294967295" verticalDpi="4294967295"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5:H15"/>
  <sheetViews>
    <sheetView topLeftCell="A16" zoomScaleNormal="100" workbookViewId="0">
      <selection activeCell="B14" sqref="B14"/>
    </sheetView>
  </sheetViews>
  <sheetFormatPr defaultRowHeight="15.75" x14ac:dyDescent="0.25"/>
  <cols>
    <col min="1" max="1" width="9.140625" style="166"/>
    <col min="2" max="2" width="83.7109375" style="124" customWidth="1"/>
    <col min="3" max="4" width="16.7109375" style="166" customWidth="1"/>
    <col min="5" max="5" width="19.85546875" style="166" customWidth="1"/>
    <col min="6" max="8" width="9.140625" style="166"/>
    <col min="9" max="16384" width="9.140625" style="124"/>
  </cols>
  <sheetData>
    <row r="5" spans="1:5" ht="22.5" customHeight="1" x14ac:dyDescent="0.25">
      <c r="B5" s="759" t="s">
        <v>523</v>
      </c>
      <c r="C5" s="781"/>
      <c r="D5" s="781"/>
      <c r="E5" s="781"/>
    </row>
    <row r="6" spans="1:5" ht="22.5" customHeight="1" x14ac:dyDescent="0.25">
      <c r="B6" s="168"/>
      <c r="C6" s="59"/>
      <c r="D6" s="59"/>
      <c r="E6" s="59"/>
    </row>
    <row r="7" spans="1:5" x14ac:dyDescent="0.25">
      <c r="C7" s="166" t="s">
        <v>519</v>
      </c>
      <c r="D7" s="125" t="s">
        <v>518</v>
      </c>
      <c r="E7" s="125"/>
    </row>
    <row r="8" spans="1:5" ht="21" customHeight="1" x14ac:dyDescent="0.25">
      <c r="A8" s="126"/>
      <c r="B8" s="126" t="s">
        <v>380</v>
      </c>
      <c r="C8" s="126">
        <v>2023</v>
      </c>
      <c r="D8" s="126">
        <v>2024</v>
      </c>
      <c r="E8" s="126" t="s">
        <v>522</v>
      </c>
    </row>
    <row r="9" spans="1:5" ht="57" customHeight="1" x14ac:dyDescent="0.25">
      <c r="A9" s="126" t="s">
        <v>245</v>
      </c>
      <c r="B9" s="18" t="s">
        <v>148</v>
      </c>
      <c r="C9" s="167">
        <v>718642.9</v>
      </c>
      <c r="D9" s="167">
        <v>500000</v>
      </c>
      <c r="E9" s="126"/>
    </row>
    <row r="10" spans="1:5" ht="31.5" x14ac:dyDescent="0.25">
      <c r="A10" s="126" t="s">
        <v>246</v>
      </c>
      <c r="B10" s="18" t="s">
        <v>15</v>
      </c>
      <c r="C10" s="779">
        <v>369047.3</v>
      </c>
      <c r="D10" s="779">
        <v>349817.2</v>
      </c>
      <c r="E10" s="779"/>
    </row>
    <row r="11" spans="1:5" ht="31.5" x14ac:dyDescent="0.25">
      <c r="A11" s="126" t="s">
        <v>379</v>
      </c>
      <c r="B11" s="18" t="s">
        <v>295</v>
      </c>
      <c r="C11" s="780"/>
      <c r="D11" s="780"/>
      <c r="E11" s="780"/>
    </row>
    <row r="12" spans="1:5" ht="63" x14ac:dyDescent="0.25">
      <c r="A12" s="126" t="s">
        <v>247</v>
      </c>
      <c r="B12" s="18" t="s">
        <v>435</v>
      </c>
      <c r="C12" s="167">
        <v>286882.7</v>
      </c>
      <c r="D12" s="167">
        <v>0</v>
      </c>
      <c r="E12" s="126"/>
    </row>
    <row r="13" spans="1:5" ht="21" customHeight="1" x14ac:dyDescent="0.25">
      <c r="A13" s="126" t="s">
        <v>247</v>
      </c>
      <c r="B13" s="18" t="s">
        <v>520</v>
      </c>
      <c r="C13" s="167">
        <v>303516.31757999997</v>
      </c>
      <c r="D13" s="167">
        <v>0</v>
      </c>
      <c r="E13" s="126"/>
    </row>
    <row r="14" spans="1:5" ht="78.75" x14ac:dyDescent="0.25">
      <c r="A14" s="126" t="s">
        <v>249</v>
      </c>
      <c r="B14" s="18" t="s">
        <v>12</v>
      </c>
      <c r="C14" s="167">
        <v>149100</v>
      </c>
      <c r="D14" s="167">
        <v>0</v>
      </c>
      <c r="E14" s="126"/>
    </row>
    <row r="15" spans="1:5" ht="21" customHeight="1" x14ac:dyDescent="0.25">
      <c r="A15" s="126" t="s">
        <v>521</v>
      </c>
      <c r="B15" s="18" t="s">
        <v>138</v>
      </c>
      <c r="C15" s="167">
        <v>1423632.5</v>
      </c>
      <c r="D15" s="167">
        <v>395980</v>
      </c>
      <c r="E15" s="126"/>
    </row>
  </sheetData>
  <mergeCells count="4">
    <mergeCell ref="C10:C11"/>
    <mergeCell ref="D10:D11"/>
    <mergeCell ref="E10:E11"/>
    <mergeCell ref="B5:E5"/>
  </mergeCells>
  <pageMargins left="0.7" right="0.7" top="0.75" bottom="0.75" header="0.3" footer="0.3"/>
  <pageSetup paperSize="9" scale="89" orientation="landscape"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X134"/>
  <sheetViews>
    <sheetView workbookViewId="0">
      <selection activeCell="C12" sqref="C12"/>
    </sheetView>
  </sheetViews>
  <sheetFormatPr defaultRowHeight="15" x14ac:dyDescent="0.25"/>
  <cols>
    <col min="1" max="1" width="9.140625" style="17"/>
    <col min="2" max="2" width="6.7109375" style="17" customWidth="1"/>
    <col min="3" max="3" width="64.7109375" style="17" customWidth="1"/>
    <col min="4" max="4" width="22" style="204" bestFit="1" customWidth="1"/>
    <col min="5" max="5" width="23.7109375" style="17" customWidth="1"/>
    <col min="6" max="6" width="16" style="17" bestFit="1" customWidth="1"/>
    <col min="7" max="7" width="11.42578125" style="17" bestFit="1" customWidth="1"/>
    <col min="8" max="16384" width="9.140625" style="17"/>
  </cols>
  <sheetData>
    <row r="2" spans="1:76" ht="28.5" customHeight="1" x14ac:dyDescent="0.25">
      <c r="B2" s="788" t="s">
        <v>666</v>
      </c>
      <c r="C2" s="788"/>
      <c r="D2" s="788"/>
      <c r="E2" s="788"/>
      <c r="F2" s="788"/>
    </row>
    <row r="4" spans="1:76" s="176" customFormat="1" ht="16.5" x14ac:dyDescent="0.25">
      <c r="A4" s="17"/>
      <c r="B4" s="789">
        <v>2023</v>
      </c>
      <c r="C4" s="790"/>
      <c r="D4" s="790"/>
      <c r="E4" s="790"/>
      <c r="F4" s="791"/>
      <c r="G4" s="17"/>
      <c r="H4" s="17"/>
      <c r="I4" s="17"/>
      <c r="J4" s="17"/>
      <c r="K4" s="17"/>
      <c r="L4" s="17"/>
      <c r="M4" s="17"/>
      <c r="N4" s="17"/>
      <c r="O4" s="17"/>
      <c r="P4" s="17"/>
      <c r="Q4" s="17"/>
      <c r="R4" s="17"/>
      <c r="S4" s="17"/>
      <c r="T4" s="17"/>
      <c r="U4" s="17"/>
      <c r="V4" s="17"/>
      <c r="W4" s="17"/>
      <c r="X4" s="17"/>
      <c r="Y4" s="17"/>
      <c r="Z4" s="17"/>
      <c r="AA4" s="17"/>
      <c r="AB4" s="17"/>
      <c r="AC4" s="17"/>
      <c r="AD4" s="17"/>
      <c r="AE4" s="17"/>
      <c r="AF4" s="17"/>
      <c r="AG4" s="17"/>
      <c r="AH4" s="17"/>
      <c r="AI4" s="17"/>
      <c r="AJ4" s="17"/>
      <c r="AK4" s="17"/>
      <c r="AL4" s="17"/>
      <c r="AM4" s="17"/>
      <c r="AN4" s="17"/>
      <c r="AO4" s="17"/>
      <c r="AP4" s="17"/>
      <c r="AQ4" s="17"/>
      <c r="AR4" s="17"/>
      <c r="AS4" s="17"/>
      <c r="AT4" s="17"/>
      <c r="AU4" s="17"/>
      <c r="AV4" s="17"/>
      <c r="AW4" s="17"/>
      <c r="AX4" s="17"/>
      <c r="AY4" s="17"/>
      <c r="AZ4" s="17"/>
      <c r="BA4" s="17"/>
      <c r="BB4" s="17"/>
      <c r="BC4" s="17"/>
      <c r="BD4" s="17"/>
      <c r="BE4" s="17"/>
      <c r="BF4" s="17"/>
      <c r="BG4" s="17"/>
      <c r="BH4" s="17"/>
      <c r="BI4" s="17"/>
      <c r="BJ4" s="17"/>
      <c r="BK4" s="17"/>
      <c r="BL4" s="17"/>
      <c r="BM4" s="17"/>
      <c r="BN4" s="17"/>
      <c r="BO4" s="17"/>
      <c r="BP4" s="17"/>
      <c r="BQ4" s="17"/>
      <c r="BR4" s="17"/>
      <c r="BS4" s="17"/>
      <c r="BT4" s="17"/>
      <c r="BU4" s="17"/>
      <c r="BV4" s="17"/>
      <c r="BW4" s="17"/>
      <c r="BX4" s="17"/>
    </row>
    <row r="5" spans="1:76" s="176" customFormat="1" ht="33" x14ac:dyDescent="0.25">
      <c r="A5" s="17"/>
      <c r="B5" s="182" t="s">
        <v>37</v>
      </c>
      <c r="C5" s="182" t="s">
        <v>469</v>
      </c>
      <c r="D5" s="212" t="s">
        <v>664</v>
      </c>
      <c r="E5" s="182" t="s">
        <v>665</v>
      </c>
      <c r="F5" s="189" t="s">
        <v>522</v>
      </c>
      <c r="G5" s="17"/>
      <c r="H5" s="17"/>
      <c r="I5" s="17"/>
      <c r="J5" s="17"/>
      <c r="K5" s="17"/>
      <c r="L5" s="17"/>
      <c r="M5" s="17"/>
      <c r="N5" s="17"/>
      <c r="O5" s="17"/>
      <c r="P5" s="17"/>
      <c r="Q5" s="17"/>
      <c r="R5" s="17"/>
      <c r="S5" s="17"/>
      <c r="T5" s="17"/>
      <c r="U5" s="17"/>
      <c r="V5" s="17"/>
      <c r="W5" s="17"/>
      <c r="X5" s="17"/>
      <c r="Y5" s="17"/>
      <c r="Z5" s="17"/>
      <c r="AA5" s="17"/>
      <c r="AB5" s="17"/>
      <c r="AC5" s="17"/>
      <c r="AD5" s="17"/>
      <c r="AE5" s="17"/>
      <c r="AF5" s="17"/>
      <c r="AG5" s="17"/>
      <c r="AH5" s="17"/>
      <c r="AI5" s="17"/>
      <c r="AJ5" s="17"/>
      <c r="AK5" s="17"/>
      <c r="AL5" s="17"/>
      <c r="AM5" s="17"/>
      <c r="AN5" s="17"/>
      <c r="AO5" s="17"/>
      <c r="AP5" s="17"/>
      <c r="AQ5" s="17"/>
      <c r="AR5" s="17"/>
      <c r="AS5" s="17"/>
      <c r="AT5" s="17"/>
      <c r="AU5" s="17"/>
      <c r="AV5" s="17"/>
      <c r="AW5" s="17"/>
      <c r="AX5" s="17"/>
      <c r="AY5" s="17"/>
      <c r="AZ5" s="17"/>
      <c r="BA5" s="17"/>
      <c r="BB5" s="17"/>
      <c r="BC5" s="17"/>
      <c r="BD5" s="17"/>
      <c r="BE5" s="17"/>
      <c r="BF5" s="17"/>
      <c r="BG5" s="17"/>
      <c r="BH5" s="17"/>
      <c r="BI5" s="17"/>
      <c r="BJ5" s="17"/>
      <c r="BK5" s="17"/>
      <c r="BL5" s="17"/>
      <c r="BM5" s="17"/>
      <c r="BN5" s="17"/>
      <c r="BO5" s="17"/>
      <c r="BP5" s="17"/>
      <c r="BQ5" s="17"/>
      <c r="BR5" s="17"/>
      <c r="BS5" s="17"/>
      <c r="BT5" s="17"/>
      <c r="BU5" s="17"/>
      <c r="BV5" s="17"/>
      <c r="BW5" s="17"/>
      <c r="BX5" s="17"/>
    </row>
    <row r="6" spans="1:76" s="176" customFormat="1" ht="33" customHeight="1" x14ac:dyDescent="0.25">
      <c r="A6" s="17"/>
      <c r="B6" s="185">
        <v>1</v>
      </c>
      <c r="C6" s="175" t="s">
        <v>624</v>
      </c>
      <c r="D6" s="179">
        <v>1200</v>
      </c>
      <c r="E6" s="186">
        <f t="shared" ref="E6:E11" si="0">D6*4.5/1000*1753718.9</f>
        <v>9470082.0600000005</v>
      </c>
      <c r="F6" s="187"/>
      <c r="G6" s="17"/>
      <c r="H6" s="17"/>
      <c r="I6" s="17"/>
      <c r="J6" s="17"/>
      <c r="K6" s="17"/>
      <c r="L6" s="17"/>
      <c r="M6" s="17"/>
      <c r="N6" s="17"/>
      <c r="O6" s="17"/>
      <c r="P6" s="17"/>
      <c r="Q6" s="17"/>
      <c r="R6" s="17"/>
      <c r="S6" s="17"/>
      <c r="T6" s="17"/>
      <c r="U6" s="17"/>
      <c r="V6" s="17"/>
      <c r="W6" s="17"/>
      <c r="X6" s="17"/>
      <c r="Y6" s="17"/>
      <c r="Z6" s="17"/>
      <c r="AA6" s="17"/>
      <c r="AB6" s="17"/>
      <c r="AC6" s="17"/>
      <c r="AD6" s="17"/>
      <c r="AE6" s="17"/>
      <c r="AF6" s="17"/>
      <c r="AG6" s="17"/>
      <c r="AH6" s="17"/>
      <c r="AI6" s="17"/>
      <c r="AJ6" s="17"/>
      <c r="AK6" s="17"/>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17"/>
      <c r="BO6" s="17"/>
      <c r="BP6" s="17"/>
      <c r="BQ6" s="17"/>
      <c r="BR6" s="17"/>
      <c r="BS6" s="17"/>
      <c r="BT6" s="17"/>
      <c r="BU6" s="17"/>
      <c r="BV6" s="17"/>
      <c r="BW6" s="17"/>
      <c r="BX6" s="17"/>
    </row>
    <row r="7" spans="1:76" s="176" customFormat="1" ht="33" customHeight="1" x14ac:dyDescent="0.25">
      <c r="A7" s="17"/>
      <c r="B7" s="185">
        <v>2</v>
      </c>
      <c r="C7" s="175" t="s">
        <v>623</v>
      </c>
      <c r="D7" s="179">
        <v>1200</v>
      </c>
      <c r="E7" s="186">
        <f t="shared" si="0"/>
        <v>9470082.0600000005</v>
      </c>
      <c r="F7" s="187"/>
      <c r="G7" s="17"/>
      <c r="H7" s="17"/>
      <c r="I7" s="17"/>
      <c r="J7" s="17"/>
      <c r="K7" s="17"/>
      <c r="L7" s="17"/>
      <c r="M7" s="17"/>
      <c r="N7" s="17"/>
      <c r="O7" s="17"/>
      <c r="P7" s="17"/>
      <c r="Q7" s="17"/>
      <c r="R7" s="17"/>
      <c r="S7" s="17"/>
      <c r="T7" s="17"/>
      <c r="U7" s="17"/>
      <c r="V7" s="17"/>
      <c r="W7" s="17"/>
      <c r="X7" s="17"/>
      <c r="Y7" s="17"/>
      <c r="Z7" s="17"/>
      <c r="AA7" s="17"/>
      <c r="AB7" s="17"/>
      <c r="AC7" s="17"/>
      <c r="AD7" s="17"/>
      <c r="AE7" s="17"/>
      <c r="AF7" s="17"/>
      <c r="AG7" s="17"/>
      <c r="AH7" s="17"/>
      <c r="AI7" s="17"/>
      <c r="AJ7" s="17"/>
      <c r="AK7" s="17"/>
      <c r="AL7" s="17"/>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17"/>
      <c r="BM7" s="17"/>
      <c r="BN7" s="17"/>
      <c r="BO7" s="17"/>
      <c r="BP7" s="17"/>
      <c r="BQ7" s="17"/>
      <c r="BR7" s="17"/>
      <c r="BS7" s="17"/>
      <c r="BT7" s="17"/>
      <c r="BU7" s="17"/>
      <c r="BV7" s="17"/>
      <c r="BW7" s="17"/>
      <c r="BX7" s="17"/>
    </row>
    <row r="8" spans="1:76" s="176" customFormat="1" ht="33" customHeight="1" x14ac:dyDescent="0.25">
      <c r="A8" s="17"/>
      <c r="B8" s="185">
        <v>3</v>
      </c>
      <c r="C8" s="175" t="s">
        <v>593</v>
      </c>
      <c r="D8" s="179">
        <v>1100</v>
      </c>
      <c r="E8" s="186">
        <f t="shared" si="0"/>
        <v>8680908.5549999997</v>
      </c>
      <c r="F8" s="187"/>
      <c r="G8" s="17"/>
      <c r="H8" s="17"/>
      <c r="I8" s="17"/>
      <c r="J8" s="17"/>
      <c r="K8" s="17"/>
      <c r="L8" s="17"/>
      <c r="M8" s="17"/>
      <c r="N8" s="17"/>
      <c r="O8" s="17"/>
      <c r="P8" s="17"/>
      <c r="Q8" s="17"/>
      <c r="R8" s="17"/>
      <c r="S8" s="17"/>
      <c r="T8" s="17"/>
      <c r="U8" s="17"/>
      <c r="V8" s="17"/>
      <c r="W8" s="17"/>
      <c r="X8" s="17"/>
      <c r="Y8" s="17"/>
      <c r="Z8" s="17"/>
      <c r="AA8" s="17"/>
      <c r="AB8" s="17"/>
      <c r="AC8" s="17"/>
      <c r="AD8" s="17"/>
      <c r="AE8" s="17"/>
      <c r="AF8" s="17"/>
      <c r="AG8" s="17"/>
      <c r="AH8" s="17"/>
      <c r="AI8" s="17"/>
      <c r="AJ8" s="17"/>
      <c r="AK8" s="17"/>
      <c r="AL8" s="17"/>
      <c r="AM8" s="17"/>
      <c r="AN8" s="17"/>
      <c r="AO8" s="17"/>
      <c r="AP8" s="17"/>
      <c r="AQ8" s="17"/>
      <c r="AR8" s="17"/>
      <c r="AS8" s="17"/>
      <c r="AT8" s="17"/>
      <c r="AU8" s="17"/>
      <c r="AV8" s="17"/>
      <c r="AW8" s="17"/>
      <c r="AX8" s="17"/>
      <c r="AY8" s="17"/>
      <c r="AZ8" s="17"/>
      <c r="BA8" s="17"/>
      <c r="BB8" s="17"/>
      <c r="BC8" s="17"/>
      <c r="BD8" s="17"/>
      <c r="BE8" s="17"/>
      <c r="BF8" s="17"/>
      <c r="BG8" s="17"/>
      <c r="BH8" s="17"/>
      <c r="BI8" s="17"/>
      <c r="BJ8" s="17"/>
      <c r="BK8" s="17"/>
      <c r="BL8" s="17"/>
      <c r="BM8" s="17"/>
      <c r="BN8" s="17"/>
      <c r="BO8" s="17"/>
      <c r="BP8" s="17"/>
      <c r="BQ8" s="17"/>
      <c r="BR8" s="17"/>
      <c r="BS8" s="17"/>
      <c r="BT8" s="17"/>
      <c r="BU8" s="17"/>
      <c r="BV8" s="17"/>
      <c r="BW8" s="17"/>
      <c r="BX8" s="17"/>
    </row>
    <row r="9" spans="1:76" s="176" customFormat="1" ht="33" customHeight="1" x14ac:dyDescent="0.25">
      <c r="A9" s="17"/>
      <c r="B9" s="185">
        <v>4</v>
      </c>
      <c r="C9" s="175" t="s">
        <v>667</v>
      </c>
      <c r="D9" s="179">
        <v>1100</v>
      </c>
      <c r="E9" s="186">
        <f t="shared" si="0"/>
        <v>8680908.5549999997</v>
      </c>
      <c r="F9" s="187"/>
      <c r="G9" s="17"/>
      <c r="H9" s="17"/>
      <c r="I9" s="17"/>
      <c r="J9" s="17"/>
      <c r="K9" s="17"/>
      <c r="L9" s="17"/>
      <c r="M9" s="17"/>
      <c r="N9" s="17"/>
      <c r="O9" s="17"/>
      <c r="P9" s="17"/>
      <c r="Q9" s="17"/>
      <c r="R9" s="17"/>
      <c r="S9" s="17"/>
      <c r="T9" s="17"/>
      <c r="U9" s="17"/>
      <c r="V9" s="17"/>
      <c r="W9" s="17"/>
      <c r="X9" s="17"/>
      <c r="Y9" s="17"/>
      <c r="Z9" s="17"/>
      <c r="AA9" s="17"/>
      <c r="AB9" s="17"/>
      <c r="AC9" s="17"/>
      <c r="AD9" s="17"/>
      <c r="AE9" s="17"/>
      <c r="AF9" s="17"/>
      <c r="AG9" s="17"/>
      <c r="AH9" s="17"/>
      <c r="AI9" s="17"/>
      <c r="AJ9" s="17"/>
      <c r="AK9" s="17"/>
      <c r="AL9" s="17"/>
      <c r="AM9" s="17"/>
      <c r="AN9" s="17"/>
      <c r="AO9" s="17"/>
      <c r="AP9" s="17"/>
      <c r="AQ9" s="17"/>
      <c r="AR9" s="17"/>
      <c r="AS9" s="17"/>
      <c r="AT9" s="17"/>
      <c r="AU9" s="17"/>
      <c r="AV9" s="17"/>
      <c r="AW9" s="17"/>
      <c r="AX9" s="17"/>
      <c r="AY9" s="17"/>
      <c r="AZ9" s="17"/>
      <c r="BA9" s="17"/>
      <c r="BB9" s="17"/>
      <c r="BC9" s="17"/>
      <c r="BD9" s="17"/>
      <c r="BE9" s="17"/>
      <c r="BF9" s="17"/>
      <c r="BG9" s="17"/>
      <c r="BH9" s="17"/>
      <c r="BI9" s="17"/>
      <c r="BJ9" s="17"/>
      <c r="BK9" s="17"/>
      <c r="BL9" s="17"/>
      <c r="BM9" s="17"/>
      <c r="BN9" s="17"/>
      <c r="BO9" s="17"/>
      <c r="BP9" s="17"/>
      <c r="BQ9" s="17"/>
      <c r="BR9" s="17"/>
      <c r="BS9" s="17"/>
      <c r="BT9" s="17"/>
      <c r="BU9" s="17"/>
      <c r="BV9" s="17"/>
      <c r="BW9" s="17"/>
      <c r="BX9" s="17"/>
    </row>
    <row r="10" spans="1:76" s="176" customFormat="1" ht="33" customHeight="1" x14ac:dyDescent="0.25">
      <c r="A10" s="17"/>
      <c r="B10" s="185">
        <v>5</v>
      </c>
      <c r="C10" s="175" t="s">
        <v>668</v>
      </c>
      <c r="D10" s="179">
        <v>1300</v>
      </c>
      <c r="E10" s="186">
        <f t="shared" si="0"/>
        <v>10259255.564999999</v>
      </c>
      <c r="F10" s="18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c r="BT10" s="17"/>
      <c r="BU10" s="17"/>
      <c r="BV10" s="17"/>
      <c r="BW10" s="17"/>
      <c r="BX10" s="17"/>
    </row>
    <row r="11" spans="1:76" s="176" customFormat="1" ht="33" customHeight="1" x14ac:dyDescent="0.25">
      <c r="A11" s="17"/>
      <c r="B11" s="185">
        <v>6</v>
      </c>
      <c r="C11" s="175" t="s">
        <v>899</v>
      </c>
      <c r="D11" s="179">
        <v>846</v>
      </c>
      <c r="E11" s="188">
        <f t="shared" si="0"/>
        <v>6676407.8522999994</v>
      </c>
      <c r="F11" s="187"/>
      <c r="G11" s="17"/>
      <c r="H11" s="17"/>
      <c r="I11" s="17"/>
      <c r="J11" s="17"/>
      <c r="K11" s="17"/>
      <c r="L11" s="17"/>
      <c r="M11" s="17"/>
      <c r="N11" s="17"/>
      <c r="O11" s="17"/>
      <c r="P11" s="17"/>
      <c r="Q11" s="17"/>
      <c r="R11" s="17"/>
      <c r="S11" s="17"/>
      <c r="T11" s="17"/>
      <c r="U11" s="17"/>
      <c r="V11" s="17"/>
      <c r="W11" s="17"/>
      <c r="X11" s="17"/>
      <c r="Y11" s="17"/>
      <c r="Z11" s="17"/>
      <c r="AA11" s="17"/>
      <c r="AB11" s="17"/>
      <c r="AC11" s="17"/>
      <c r="AD11" s="17"/>
      <c r="AE11" s="17"/>
      <c r="AF11" s="17"/>
      <c r="AG11" s="17"/>
      <c r="AH11" s="17"/>
      <c r="AI11" s="17"/>
      <c r="AJ11" s="17"/>
      <c r="AK11" s="17"/>
      <c r="AL11" s="17"/>
      <c r="AM11" s="17"/>
      <c r="AN11" s="17"/>
      <c r="AO11" s="17"/>
      <c r="AP11" s="17"/>
      <c r="AQ11" s="17"/>
      <c r="AR11" s="17"/>
      <c r="AS11" s="17"/>
      <c r="AT11" s="17"/>
      <c r="AU11" s="17"/>
      <c r="AV11" s="17"/>
      <c r="AW11" s="17"/>
      <c r="AX11" s="17"/>
      <c r="AY11" s="17"/>
      <c r="AZ11" s="17"/>
      <c r="BA11" s="17"/>
      <c r="BB11" s="17"/>
      <c r="BC11" s="17"/>
      <c r="BD11" s="17"/>
      <c r="BE11" s="17"/>
      <c r="BF11" s="17"/>
      <c r="BG11" s="17"/>
      <c r="BH11" s="17"/>
      <c r="BI11" s="17"/>
      <c r="BJ11" s="17"/>
      <c r="BK11" s="17"/>
      <c r="BL11" s="17"/>
      <c r="BM11" s="17"/>
      <c r="BN11" s="17"/>
      <c r="BO11" s="17"/>
      <c r="BP11" s="17"/>
      <c r="BQ11" s="17"/>
      <c r="BR11" s="17"/>
      <c r="BS11" s="17"/>
      <c r="BT11" s="17"/>
      <c r="BU11" s="17"/>
      <c r="BV11" s="17"/>
      <c r="BW11" s="17"/>
      <c r="BX11" s="17"/>
    </row>
    <row r="12" spans="1:76" s="190" customFormat="1" ht="16.5" x14ac:dyDescent="0.25">
      <c r="A12" s="87"/>
      <c r="B12" s="189"/>
      <c r="C12" s="182" t="s">
        <v>490</v>
      </c>
      <c r="D12" s="183">
        <f>SUM(D6:D11)</f>
        <v>6746</v>
      </c>
      <c r="E12" s="184">
        <f>SUM(E6:E11)</f>
        <v>53237644.647300005</v>
      </c>
      <c r="F12" s="189"/>
      <c r="G12" s="87"/>
      <c r="H12" s="87"/>
      <c r="I12" s="87"/>
      <c r="J12" s="87"/>
      <c r="K12" s="87"/>
      <c r="L12" s="87"/>
      <c r="M12" s="87"/>
      <c r="N12" s="87"/>
      <c r="O12" s="87"/>
      <c r="P12" s="87"/>
      <c r="Q12" s="87"/>
      <c r="R12" s="87"/>
      <c r="S12" s="87"/>
      <c r="T12" s="87"/>
      <c r="U12" s="87"/>
      <c r="V12" s="87"/>
      <c r="W12" s="87"/>
      <c r="X12" s="87"/>
      <c r="Y12" s="87"/>
      <c r="Z12" s="87"/>
      <c r="AA12" s="87"/>
      <c r="AB12" s="87"/>
      <c r="AC12" s="87"/>
      <c r="AD12" s="87"/>
      <c r="AE12" s="87"/>
      <c r="AF12" s="87"/>
      <c r="AG12" s="87"/>
      <c r="AH12" s="87"/>
      <c r="AI12" s="87"/>
      <c r="AJ12" s="87"/>
      <c r="AK12" s="87"/>
      <c r="AL12" s="87"/>
      <c r="AM12" s="87"/>
      <c r="AN12" s="87"/>
      <c r="AO12" s="87"/>
      <c r="AP12" s="87"/>
      <c r="AQ12" s="87"/>
      <c r="AR12" s="87"/>
      <c r="AS12" s="87"/>
      <c r="AT12" s="87"/>
      <c r="AU12" s="87"/>
      <c r="AV12" s="87"/>
      <c r="AW12" s="87"/>
      <c r="AX12" s="87"/>
      <c r="AY12" s="87"/>
      <c r="AZ12" s="87"/>
      <c r="BA12" s="87"/>
      <c r="BB12" s="87"/>
      <c r="BC12" s="87"/>
      <c r="BD12" s="87"/>
      <c r="BE12" s="87"/>
      <c r="BF12" s="87"/>
      <c r="BG12" s="87"/>
      <c r="BH12" s="87"/>
      <c r="BI12" s="87"/>
      <c r="BJ12" s="87"/>
      <c r="BK12" s="87"/>
      <c r="BL12" s="87"/>
      <c r="BM12" s="87"/>
      <c r="BN12" s="87"/>
      <c r="BO12" s="87"/>
      <c r="BP12" s="87"/>
      <c r="BQ12" s="87"/>
      <c r="BR12" s="87"/>
      <c r="BS12" s="87"/>
      <c r="BT12" s="87"/>
      <c r="BU12" s="87"/>
      <c r="BV12" s="87"/>
      <c r="BW12" s="87"/>
      <c r="BX12" s="87"/>
    </row>
    <row r="13" spans="1:76" s="191" customFormat="1" ht="16.5" x14ac:dyDescent="0.25">
      <c r="A13" s="17"/>
      <c r="B13" s="782">
        <v>2024</v>
      </c>
      <c r="C13" s="783"/>
      <c r="D13" s="783"/>
      <c r="E13" s="783"/>
      <c r="F13" s="784"/>
      <c r="G13" s="17"/>
      <c r="H13" s="17"/>
      <c r="I13" s="17"/>
      <c r="J13" s="17"/>
      <c r="K13" s="17"/>
      <c r="L13" s="17"/>
      <c r="M13" s="17"/>
      <c r="N13" s="17"/>
      <c r="O13" s="17"/>
      <c r="P13" s="17"/>
      <c r="Q13" s="17"/>
      <c r="R13" s="17"/>
      <c r="S13" s="17"/>
      <c r="T13" s="17"/>
      <c r="U13" s="17"/>
      <c r="V13" s="17"/>
      <c r="W13" s="17"/>
      <c r="X13" s="17"/>
      <c r="Y13" s="17"/>
      <c r="Z13" s="17"/>
      <c r="AA13" s="17"/>
      <c r="AB13" s="17"/>
      <c r="AC13" s="17"/>
      <c r="AD13" s="17"/>
      <c r="AE13" s="17"/>
      <c r="AF13" s="17"/>
      <c r="AG13" s="17"/>
      <c r="AH13" s="17"/>
      <c r="AI13" s="17"/>
      <c r="AJ13" s="17"/>
      <c r="AK13" s="17"/>
      <c r="AL13" s="17"/>
      <c r="AM13" s="17"/>
      <c r="AN13" s="17"/>
      <c r="AO13" s="17"/>
      <c r="AP13" s="17"/>
      <c r="AQ13" s="17"/>
      <c r="AR13" s="17"/>
      <c r="AS13" s="17"/>
      <c r="AT13" s="17"/>
      <c r="AU13" s="17"/>
      <c r="AV13" s="17"/>
      <c r="AW13" s="17"/>
      <c r="AX13" s="17"/>
      <c r="AY13" s="17"/>
      <c r="AZ13" s="17"/>
      <c r="BA13" s="17"/>
      <c r="BB13" s="17"/>
      <c r="BC13" s="17"/>
      <c r="BD13" s="17"/>
      <c r="BE13" s="17"/>
      <c r="BF13" s="17"/>
      <c r="BG13" s="17"/>
      <c r="BH13" s="17"/>
      <c r="BI13" s="17"/>
      <c r="BJ13" s="17"/>
      <c r="BK13" s="17"/>
      <c r="BL13" s="17"/>
      <c r="BM13" s="17"/>
      <c r="BN13" s="17"/>
      <c r="BO13" s="17"/>
      <c r="BP13" s="17"/>
      <c r="BQ13" s="17"/>
      <c r="BR13" s="17"/>
      <c r="BS13" s="17"/>
      <c r="BT13" s="17"/>
      <c r="BU13" s="17"/>
      <c r="BV13" s="17"/>
      <c r="BW13" s="17"/>
      <c r="BX13" s="17"/>
    </row>
    <row r="14" spans="1:76" s="191" customFormat="1" ht="33" x14ac:dyDescent="0.25">
      <c r="A14" s="17"/>
      <c r="B14" s="192">
        <v>7</v>
      </c>
      <c r="C14" s="177" t="s">
        <v>591</v>
      </c>
      <c r="D14" s="180">
        <v>2000</v>
      </c>
      <c r="E14" s="193">
        <f t="shared" ref="E14:E22" si="1">D14*4.5/1000*1753718.9</f>
        <v>15783470.1</v>
      </c>
      <c r="F14" s="194"/>
      <c r="G14" s="17"/>
      <c r="H14" s="17"/>
      <c r="I14" s="17"/>
      <c r="J14" s="17"/>
      <c r="K14" s="17"/>
      <c r="L14" s="17"/>
      <c r="M14" s="17"/>
      <c r="N14" s="17"/>
      <c r="O14" s="17"/>
      <c r="P14" s="17"/>
      <c r="Q14" s="17"/>
      <c r="R14" s="17"/>
      <c r="S14" s="17"/>
      <c r="T14" s="17"/>
      <c r="U14" s="17"/>
      <c r="V14" s="17"/>
      <c r="W14" s="17"/>
      <c r="X14" s="17"/>
      <c r="Y14" s="17"/>
      <c r="Z14" s="17"/>
      <c r="AA14" s="17"/>
      <c r="AB14" s="17"/>
      <c r="AC14" s="17"/>
      <c r="AD14" s="17"/>
      <c r="AE14" s="17"/>
      <c r="AF14" s="17"/>
      <c r="AG14" s="17"/>
      <c r="AH14" s="17"/>
      <c r="AI14" s="17"/>
      <c r="AJ14" s="17"/>
      <c r="AK14" s="17"/>
      <c r="AL14" s="17"/>
      <c r="AM14" s="17"/>
      <c r="AN14" s="17"/>
      <c r="AO14" s="17"/>
      <c r="AP14" s="17"/>
      <c r="AQ14" s="17"/>
      <c r="AR14" s="17"/>
      <c r="AS14" s="17"/>
      <c r="AT14" s="17"/>
      <c r="AU14" s="17"/>
      <c r="AV14" s="17"/>
      <c r="AW14" s="17"/>
      <c r="AX14" s="17"/>
      <c r="AY14" s="17"/>
      <c r="AZ14" s="17"/>
      <c r="BA14" s="17"/>
      <c r="BB14" s="17"/>
      <c r="BC14" s="17"/>
      <c r="BD14" s="17"/>
      <c r="BE14" s="17"/>
      <c r="BF14" s="17"/>
      <c r="BG14" s="17"/>
      <c r="BH14" s="17"/>
      <c r="BI14" s="17"/>
      <c r="BJ14" s="17"/>
      <c r="BK14" s="17"/>
      <c r="BL14" s="17"/>
      <c r="BM14" s="17"/>
      <c r="BN14" s="17"/>
      <c r="BO14" s="17"/>
      <c r="BP14" s="17"/>
      <c r="BQ14" s="17"/>
      <c r="BR14" s="17"/>
      <c r="BS14" s="17"/>
      <c r="BT14" s="17"/>
      <c r="BU14" s="17"/>
      <c r="BV14" s="17"/>
      <c r="BW14" s="17"/>
      <c r="BX14" s="17"/>
    </row>
    <row r="15" spans="1:76" s="191" customFormat="1" ht="33" x14ac:dyDescent="0.25">
      <c r="A15" s="17"/>
      <c r="B15" s="192">
        <v>8</v>
      </c>
      <c r="C15" s="177" t="s">
        <v>590</v>
      </c>
      <c r="D15" s="180">
        <v>1800</v>
      </c>
      <c r="E15" s="193">
        <f t="shared" si="1"/>
        <v>14205123.089999998</v>
      </c>
      <c r="F15" s="194"/>
      <c r="G15" s="17"/>
      <c r="H15" s="17"/>
      <c r="I15" s="17"/>
      <c r="J15" s="17"/>
      <c r="K15" s="17"/>
      <c r="L15" s="17"/>
      <c r="M15" s="17"/>
      <c r="N15" s="17"/>
      <c r="O15" s="17"/>
      <c r="P15" s="17"/>
      <c r="Q15" s="17"/>
      <c r="R15" s="17"/>
      <c r="S15" s="17"/>
      <c r="T15" s="17"/>
      <c r="U15" s="17"/>
      <c r="V15" s="17"/>
      <c r="W15" s="17"/>
      <c r="X15" s="17"/>
      <c r="Y15" s="17"/>
      <c r="Z15" s="17"/>
      <c r="AA15" s="17"/>
      <c r="AB15" s="17"/>
      <c r="AC15" s="17"/>
      <c r="AD15" s="17"/>
      <c r="AE15" s="17"/>
      <c r="AF15" s="17"/>
      <c r="AG15" s="17"/>
      <c r="AH15" s="17"/>
      <c r="AI15" s="17"/>
      <c r="AJ15" s="17"/>
      <c r="AK15" s="17"/>
      <c r="AL15" s="17"/>
      <c r="AM15" s="17"/>
      <c r="AN15" s="17"/>
      <c r="AO15" s="17"/>
      <c r="AP15" s="17"/>
      <c r="AQ15" s="17"/>
      <c r="AR15" s="17"/>
      <c r="AS15" s="17"/>
      <c r="AT15" s="17"/>
      <c r="AU15" s="17"/>
      <c r="AV15" s="17"/>
      <c r="AW15" s="17"/>
      <c r="AX15" s="17"/>
      <c r="AY15" s="17"/>
      <c r="AZ15" s="17"/>
      <c r="BA15" s="17"/>
      <c r="BB15" s="17"/>
      <c r="BC15" s="17"/>
      <c r="BD15" s="17"/>
      <c r="BE15" s="17"/>
      <c r="BF15" s="17"/>
      <c r="BG15" s="17"/>
      <c r="BH15" s="17"/>
      <c r="BI15" s="17"/>
      <c r="BJ15" s="17"/>
      <c r="BK15" s="17"/>
      <c r="BL15" s="17"/>
      <c r="BM15" s="17"/>
      <c r="BN15" s="17"/>
      <c r="BO15" s="17"/>
      <c r="BP15" s="17"/>
      <c r="BQ15" s="17"/>
      <c r="BR15" s="17"/>
      <c r="BS15" s="17"/>
      <c r="BT15" s="17"/>
      <c r="BU15" s="17"/>
      <c r="BV15" s="17"/>
      <c r="BW15" s="17"/>
      <c r="BX15" s="17"/>
    </row>
    <row r="16" spans="1:76" s="191" customFormat="1" ht="33" customHeight="1" x14ac:dyDescent="0.25">
      <c r="A16" s="17"/>
      <c r="B16" s="192">
        <v>9</v>
      </c>
      <c r="C16" s="177" t="s">
        <v>581</v>
      </c>
      <c r="D16" s="180">
        <v>735</v>
      </c>
      <c r="E16" s="193">
        <f t="shared" si="1"/>
        <v>5800425.2617499996</v>
      </c>
      <c r="F16" s="194"/>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c r="BT16" s="17"/>
      <c r="BU16" s="17"/>
      <c r="BV16" s="17"/>
      <c r="BW16" s="17"/>
      <c r="BX16" s="17"/>
    </row>
    <row r="17" spans="1:76" s="191" customFormat="1" ht="33" x14ac:dyDescent="0.25">
      <c r="A17" s="17"/>
      <c r="B17" s="192">
        <v>10</v>
      </c>
      <c r="C17" s="177" t="s">
        <v>582</v>
      </c>
      <c r="D17" s="180">
        <v>334</v>
      </c>
      <c r="E17" s="193">
        <f t="shared" si="1"/>
        <v>2635839.5066999998</v>
      </c>
      <c r="F17" s="194"/>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c r="BK17" s="17"/>
      <c r="BL17" s="17"/>
      <c r="BM17" s="17"/>
      <c r="BN17" s="17"/>
      <c r="BO17" s="17"/>
      <c r="BP17" s="17"/>
      <c r="BQ17" s="17"/>
      <c r="BR17" s="17"/>
      <c r="BS17" s="17"/>
      <c r="BT17" s="17"/>
      <c r="BU17" s="17"/>
      <c r="BV17" s="17"/>
      <c r="BW17" s="17"/>
      <c r="BX17" s="17"/>
    </row>
    <row r="18" spans="1:76" s="191" customFormat="1" ht="33" x14ac:dyDescent="0.25">
      <c r="A18" s="17"/>
      <c r="B18" s="192">
        <v>11</v>
      </c>
      <c r="C18" s="177" t="s">
        <v>584</v>
      </c>
      <c r="D18" s="180">
        <v>1100</v>
      </c>
      <c r="E18" s="193">
        <f t="shared" si="1"/>
        <v>8680908.5549999997</v>
      </c>
      <c r="F18" s="194"/>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c r="BT18" s="17"/>
      <c r="BU18" s="17"/>
      <c r="BV18" s="17"/>
      <c r="BW18" s="17"/>
      <c r="BX18" s="17"/>
    </row>
    <row r="19" spans="1:76" s="191" customFormat="1" ht="33" x14ac:dyDescent="0.25">
      <c r="A19" s="17"/>
      <c r="B19" s="192">
        <v>12</v>
      </c>
      <c r="C19" s="177" t="s">
        <v>586</v>
      </c>
      <c r="D19" s="180">
        <v>898</v>
      </c>
      <c r="E19" s="193">
        <f t="shared" si="1"/>
        <v>7086778.0749000004</v>
      </c>
      <c r="F19" s="194"/>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c r="BL19" s="17"/>
      <c r="BM19" s="17"/>
      <c r="BN19" s="17"/>
      <c r="BO19" s="17"/>
      <c r="BP19" s="17"/>
      <c r="BQ19" s="17"/>
      <c r="BR19" s="17"/>
      <c r="BS19" s="17"/>
      <c r="BT19" s="17"/>
      <c r="BU19" s="17"/>
      <c r="BV19" s="17"/>
      <c r="BW19" s="17"/>
      <c r="BX19" s="17"/>
    </row>
    <row r="20" spans="1:76" s="191" customFormat="1" ht="33" x14ac:dyDescent="0.25">
      <c r="A20" s="17"/>
      <c r="B20" s="192">
        <v>13</v>
      </c>
      <c r="C20" s="177" t="s">
        <v>588</v>
      </c>
      <c r="D20" s="180">
        <v>1600</v>
      </c>
      <c r="E20" s="193">
        <f>D20*4.5/1000*1753718.9</f>
        <v>12626776.08</v>
      </c>
      <c r="F20" s="194"/>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7"/>
      <c r="BK20" s="17"/>
      <c r="BL20" s="17"/>
      <c r="BM20" s="17"/>
      <c r="BN20" s="17"/>
      <c r="BO20" s="17"/>
      <c r="BP20" s="17"/>
      <c r="BQ20" s="17"/>
      <c r="BR20" s="17"/>
      <c r="BS20" s="17"/>
      <c r="BT20" s="17"/>
      <c r="BU20" s="17"/>
      <c r="BV20" s="17"/>
      <c r="BW20" s="17"/>
      <c r="BX20" s="17"/>
    </row>
    <row r="21" spans="1:76" s="191" customFormat="1" ht="33" x14ac:dyDescent="0.25">
      <c r="A21" s="17"/>
      <c r="B21" s="192">
        <v>14</v>
      </c>
      <c r="C21" s="177" t="s">
        <v>589</v>
      </c>
      <c r="D21" s="180">
        <v>1200</v>
      </c>
      <c r="E21" s="193">
        <f t="shared" si="1"/>
        <v>9470082.0600000005</v>
      </c>
      <c r="F21" s="194"/>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7"/>
      <c r="BK21" s="17"/>
      <c r="BL21" s="17"/>
      <c r="BM21" s="17"/>
      <c r="BN21" s="17"/>
      <c r="BO21" s="17"/>
      <c r="BP21" s="17"/>
      <c r="BQ21" s="17"/>
      <c r="BR21" s="17"/>
      <c r="BS21" s="17"/>
      <c r="BT21" s="17"/>
      <c r="BU21" s="17"/>
      <c r="BV21" s="17"/>
      <c r="BW21" s="17"/>
      <c r="BX21" s="17"/>
    </row>
    <row r="22" spans="1:76" s="191" customFormat="1" ht="33" x14ac:dyDescent="0.25">
      <c r="A22" s="17"/>
      <c r="B22" s="192">
        <v>15</v>
      </c>
      <c r="C22" s="177" t="s">
        <v>595</v>
      </c>
      <c r="D22" s="180">
        <v>413</v>
      </c>
      <c r="E22" s="195">
        <f t="shared" si="1"/>
        <v>3259286.57565</v>
      </c>
      <c r="F22" s="194"/>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7"/>
      <c r="BK22" s="17"/>
      <c r="BL22" s="17"/>
      <c r="BM22" s="17"/>
      <c r="BN22" s="17"/>
      <c r="BO22" s="17"/>
      <c r="BP22" s="17"/>
      <c r="BQ22" s="17"/>
      <c r="BR22" s="17"/>
      <c r="BS22" s="17"/>
      <c r="BT22" s="17"/>
      <c r="BU22" s="17"/>
      <c r="BV22" s="17"/>
      <c r="BW22" s="17"/>
      <c r="BX22" s="17"/>
    </row>
    <row r="23" spans="1:76" s="191" customFormat="1" ht="33" x14ac:dyDescent="0.25">
      <c r="A23" s="17"/>
      <c r="B23" s="192">
        <v>16</v>
      </c>
      <c r="C23" s="177" t="s">
        <v>737</v>
      </c>
      <c r="D23" s="180">
        <v>491</v>
      </c>
      <c r="E23" s="195">
        <f>D23*4.5/1000*1753718.9</f>
        <v>3874841.9095499995</v>
      </c>
      <c r="F23" s="194"/>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7"/>
      <c r="BK23" s="17"/>
      <c r="BL23" s="17"/>
      <c r="BM23" s="17"/>
      <c r="BN23" s="17"/>
      <c r="BO23" s="17"/>
      <c r="BP23" s="17"/>
      <c r="BQ23" s="17"/>
      <c r="BR23" s="17"/>
      <c r="BS23" s="17"/>
      <c r="BT23" s="17"/>
      <c r="BU23" s="17"/>
      <c r="BV23" s="17"/>
      <c r="BW23" s="17"/>
      <c r="BX23" s="17"/>
    </row>
    <row r="24" spans="1:76" s="191" customFormat="1" ht="33" x14ac:dyDescent="0.25">
      <c r="A24" s="17"/>
      <c r="B24" s="192">
        <v>17</v>
      </c>
      <c r="C24" s="181" t="s">
        <v>669</v>
      </c>
      <c r="D24" s="180">
        <v>724</v>
      </c>
      <c r="E24" s="193">
        <f>D24*4.5/1000*1753718.9</f>
        <v>5713616.1761999996</v>
      </c>
      <c r="F24" s="194"/>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7"/>
      <c r="BK24" s="17"/>
      <c r="BL24" s="17"/>
      <c r="BM24" s="17"/>
      <c r="BN24" s="17"/>
      <c r="BO24" s="17"/>
      <c r="BP24" s="17"/>
      <c r="BQ24" s="17"/>
      <c r="BR24" s="17"/>
      <c r="BS24" s="17"/>
      <c r="BT24" s="17"/>
      <c r="BU24" s="17"/>
      <c r="BV24" s="17"/>
      <c r="BW24" s="17"/>
      <c r="BX24" s="17"/>
    </row>
    <row r="25" spans="1:76" s="191" customFormat="1" ht="33" x14ac:dyDescent="0.25">
      <c r="A25" s="17"/>
      <c r="B25" s="192">
        <v>18</v>
      </c>
      <c r="C25" s="177" t="s">
        <v>579</v>
      </c>
      <c r="D25" s="180">
        <v>351</v>
      </c>
      <c r="E25" s="193">
        <f>D25*4.5/1000*1753718.9</f>
        <v>2769999.0025499999</v>
      </c>
      <c r="F25" s="194"/>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c r="BT25" s="17"/>
      <c r="BU25" s="17"/>
      <c r="BV25" s="17"/>
      <c r="BW25" s="17"/>
      <c r="BX25" s="17"/>
    </row>
    <row r="26" spans="1:76" s="191" customFormat="1" ht="33" x14ac:dyDescent="0.25">
      <c r="A26" s="17"/>
      <c r="B26" s="192">
        <v>19</v>
      </c>
      <c r="C26" s="177" t="s">
        <v>580</v>
      </c>
      <c r="D26" s="180">
        <v>450</v>
      </c>
      <c r="E26" s="193">
        <f t="shared" ref="E26:E31" si="2">D26*4.5/1000*1753718.9</f>
        <v>3551280.7724999995</v>
      </c>
      <c r="F26" s="194"/>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row>
    <row r="27" spans="1:76" s="191" customFormat="1" ht="33" x14ac:dyDescent="0.25">
      <c r="A27" s="17"/>
      <c r="B27" s="192">
        <v>20</v>
      </c>
      <c r="C27" s="177" t="s">
        <v>583</v>
      </c>
      <c r="D27" s="180">
        <v>578</v>
      </c>
      <c r="E27" s="193">
        <f t="shared" si="2"/>
        <v>4561422.8588999994</v>
      </c>
      <c r="F27" s="194"/>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17"/>
      <c r="BM27" s="17"/>
      <c r="BN27" s="17"/>
      <c r="BO27" s="17"/>
      <c r="BP27" s="17"/>
      <c r="BQ27" s="17"/>
      <c r="BR27" s="17"/>
      <c r="BS27" s="17"/>
      <c r="BT27" s="17"/>
      <c r="BU27" s="17"/>
      <c r="BV27" s="17"/>
      <c r="BW27" s="17"/>
      <c r="BX27" s="17"/>
    </row>
    <row r="28" spans="1:76" s="191" customFormat="1" ht="33" x14ac:dyDescent="0.25">
      <c r="A28" s="17"/>
      <c r="B28" s="192">
        <v>21</v>
      </c>
      <c r="C28" s="177" t="s">
        <v>585</v>
      </c>
      <c r="D28" s="180">
        <v>908</v>
      </c>
      <c r="E28" s="193">
        <f t="shared" si="2"/>
        <v>7165695.4254000001</v>
      </c>
      <c r="F28" s="194"/>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17"/>
      <c r="BM28" s="17"/>
      <c r="BN28" s="17"/>
      <c r="BO28" s="17"/>
      <c r="BP28" s="17"/>
      <c r="BQ28" s="17"/>
      <c r="BR28" s="17"/>
      <c r="BS28" s="17"/>
      <c r="BT28" s="17"/>
      <c r="BU28" s="17"/>
      <c r="BV28" s="17"/>
      <c r="BW28" s="17"/>
      <c r="BX28" s="17"/>
    </row>
    <row r="29" spans="1:76" s="191" customFormat="1" ht="33" x14ac:dyDescent="0.25">
      <c r="A29" s="17"/>
      <c r="B29" s="192">
        <v>22</v>
      </c>
      <c r="C29" s="177" t="s">
        <v>587</v>
      </c>
      <c r="D29" s="180">
        <v>956</v>
      </c>
      <c r="E29" s="193">
        <f t="shared" si="2"/>
        <v>7544498.707799999</v>
      </c>
      <c r="F29" s="194"/>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row>
    <row r="30" spans="1:76" s="191" customFormat="1" ht="49.5" x14ac:dyDescent="0.25">
      <c r="A30" s="17"/>
      <c r="B30" s="504">
        <v>23</v>
      </c>
      <c r="C30" s="181" t="s">
        <v>896</v>
      </c>
      <c r="D30" s="505">
        <v>567</v>
      </c>
      <c r="E30" s="506">
        <f>D30*4.5/1000*1753718.9+0.03</f>
        <v>4474613.8033499997</v>
      </c>
      <c r="F30" s="50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row>
    <row r="31" spans="1:76" s="191" customFormat="1" ht="33" x14ac:dyDescent="0.25">
      <c r="A31" s="17"/>
      <c r="B31" s="192">
        <v>24</v>
      </c>
      <c r="C31" s="177" t="s">
        <v>897</v>
      </c>
      <c r="D31" s="180">
        <v>335</v>
      </c>
      <c r="E31" s="193">
        <f t="shared" si="2"/>
        <v>2643731.24175</v>
      </c>
      <c r="F31" s="194"/>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7"/>
      <c r="BK31" s="17"/>
      <c r="BL31" s="17"/>
      <c r="BM31" s="17"/>
      <c r="BN31" s="17"/>
      <c r="BO31" s="17"/>
      <c r="BP31" s="17"/>
      <c r="BQ31" s="17"/>
      <c r="BR31" s="17"/>
      <c r="BS31" s="17"/>
      <c r="BT31" s="17"/>
      <c r="BU31" s="17"/>
      <c r="BV31" s="17"/>
      <c r="BW31" s="17"/>
      <c r="BX31" s="17"/>
    </row>
    <row r="32" spans="1:76" s="191" customFormat="1" ht="33" x14ac:dyDescent="0.25">
      <c r="A32" s="17"/>
      <c r="B32" s="504">
        <v>25</v>
      </c>
      <c r="C32" s="181" t="s">
        <v>592</v>
      </c>
      <c r="D32" s="505">
        <v>1300</v>
      </c>
      <c r="E32" s="506">
        <f>D32*4.5/1000*1753718.9</f>
        <v>10259255.564999999</v>
      </c>
      <c r="F32" s="50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7"/>
      <c r="BK32" s="17"/>
      <c r="BL32" s="17"/>
      <c r="BM32" s="17"/>
      <c r="BN32" s="17"/>
      <c r="BO32" s="17"/>
      <c r="BP32" s="17"/>
      <c r="BQ32" s="17"/>
      <c r="BR32" s="17"/>
      <c r="BS32" s="17"/>
      <c r="BT32" s="17"/>
      <c r="BU32" s="17"/>
      <c r="BV32" s="17"/>
      <c r="BW32" s="17"/>
      <c r="BX32" s="17"/>
    </row>
    <row r="33" spans="1:76" s="191" customFormat="1" ht="33" x14ac:dyDescent="0.25">
      <c r="A33" s="17"/>
      <c r="B33" s="192">
        <v>26</v>
      </c>
      <c r="C33" s="177" t="s">
        <v>898</v>
      </c>
      <c r="D33" s="180">
        <v>643</v>
      </c>
      <c r="E33" s="195">
        <f>D33*4.5/1000*1753718.9</f>
        <v>5074385.6371499998</v>
      </c>
      <c r="F33" s="194"/>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7"/>
      <c r="BK33" s="17"/>
      <c r="BL33" s="17"/>
      <c r="BM33" s="17"/>
      <c r="BN33" s="17"/>
      <c r="BO33" s="17"/>
      <c r="BP33" s="17"/>
      <c r="BQ33" s="17"/>
      <c r="BR33" s="17"/>
      <c r="BS33" s="17"/>
      <c r="BT33" s="17"/>
      <c r="BU33" s="17"/>
      <c r="BV33" s="17"/>
      <c r="BW33" s="17"/>
      <c r="BX33" s="17"/>
    </row>
    <row r="34" spans="1:76" s="191" customFormat="1" ht="49.5" x14ac:dyDescent="0.25">
      <c r="A34" s="17"/>
      <c r="B34" s="192">
        <v>27</v>
      </c>
      <c r="C34" s="177" t="s">
        <v>594</v>
      </c>
      <c r="D34" s="180">
        <v>148</v>
      </c>
      <c r="E34" s="193">
        <f t="shared" ref="E34:E55" si="3">D34*4.5/1000*1753718.9</f>
        <v>1167976.7874</v>
      </c>
      <c r="F34" s="194"/>
      <c r="G34" s="17"/>
      <c r="H34" s="17"/>
      <c r="I34" s="17"/>
      <c r="J34" s="17"/>
      <c r="K34" s="17"/>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17"/>
      <c r="AS34" s="17"/>
      <c r="AT34" s="17"/>
      <c r="AU34" s="17"/>
      <c r="AV34" s="17"/>
      <c r="AW34" s="17"/>
      <c r="AX34" s="17"/>
      <c r="AY34" s="17"/>
      <c r="AZ34" s="17"/>
      <c r="BA34" s="17"/>
      <c r="BB34" s="17"/>
      <c r="BC34" s="17"/>
      <c r="BD34" s="17"/>
      <c r="BE34" s="17"/>
      <c r="BF34" s="17"/>
      <c r="BG34" s="17"/>
      <c r="BH34" s="17"/>
      <c r="BI34" s="17"/>
      <c r="BJ34" s="17"/>
      <c r="BK34" s="17"/>
      <c r="BL34" s="17"/>
      <c r="BM34" s="17"/>
      <c r="BN34" s="17"/>
      <c r="BO34" s="17"/>
      <c r="BP34" s="17"/>
      <c r="BQ34" s="17"/>
      <c r="BR34" s="17"/>
      <c r="BS34" s="17"/>
      <c r="BT34" s="17"/>
      <c r="BU34" s="17"/>
      <c r="BV34" s="17"/>
      <c r="BW34" s="17"/>
      <c r="BX34" s="17"/>
    </row>
    <row r="35" spans="1:76" s="191" customFormat="1" ht="33" x14ac:dyDescent="0.25">
      <c r="A35" s="17"/>
      <c r="B35" s="192">
        <v>28</v>
      </c>
      <c r="C35" s="177" t="s">
        <v>596</v>
      </c>
      <c r="D35" s="180">
        <v>544</v>
      </c>
      <c r="E35" s="195">
        <f t="shared" si="3"/>
        <v>4293103.8671999993</v>
      </c>
      <c r="F35" s="194"/>
      <c r="G35" s="17"/>
      <c r="H35" s="17"/>
      <c r="I35" s="17"/>
      <c r="J35" s="17"/>
      <c r="K35" s="17"/>
      <c r="L35" s="17"/>
      <c r="M35" s="17"/>
      <c r="N35" s="17"/>
      <c r="O35" s="17"/>
      <c r="P35" s="17"/>
      <c r="Q35" s="17"/>
      <c r="R35" s="17"/>
      <c r="S35" s="17"/>
      <c r="T35" s="17"/>
      <c r="U35" s="17"/>
      <c r="V35" s="17"/>
      <c r="W35" s="17"/>
      <c r="X35" s="17"/>
      <c r="Y35" s="17"/>
      <c r="Z35" s="17"/>
      <c r="AA35" s="17"/>
      <c r="AB35" s="17"/>
      <c r="AC35" s="17"/>
      <c r="AD35" s="17"/>
      <c r="AE35" s="17"/>
      <c r="AF35" s="17"/>
      <c r="AG35" s="17"/>
      <c r="AH35" s="17"/>
      <c r="AI35" s="17"/>
      <c r="AJ35" s="17"/>
      <c r="AK35" s="17"/>
      <c r="AL35" s="17"/>
      <c r="AM35" s="17"/>
      <c r="AN35" s="17"/>
      <c r="AO35" s="17"/>
      <c r="AP35" s="17"/>
      <c r="AQ35" s="17"/>
      <c r="AR35" s="17"/>
      <c r="AS35" s="17"/>
      <c r="AT35" s="17"/>
      <c r="AU35" s="17"/>
      <c r="AV35" s="17"/>
      <c r="AW35" s="17"/>
      <c r="AX35" s="17"/>
      <c r="AY35" s="17"/>
      <c r="AZ35" s="17"/>
      <c r="BA35" s="17"/>
      <c r="BB35" s="17"/>
      <c r="BC35" s="17"/>
      <c r="BD35" s="17"/>
      <c r="BE35" s="17"/>
      <c r="BF35" s="17"/>
      <c r="BG35" s="17"/>
      <c r="BH35" s="17"/>
      <c r="BI35" s="17"/>
      <c r="BJ35" s="17"/>
      <c r="BK35" s="17"/>
      <c r="BL35" s="17"/>
      <c r="BM35" s="17"/>
      <c r="BN35" s="17"/>
      <c r="BO35" s="17"/>
      <c r="BP35" s="17"/>
      <c r="BQ35" s="17"/>
      <c r="BR35" s="17"/>
      <c r="BS35" s="17"/>
      <c r="BT35" s="17"/>
      <c r="BU35" s="17"/>
      <c r="BV35" s="17"/>
      <c r="BW35" s="17"/>
      <c r="BX35" s="17"/>
    </row>
    <row r="36" spans="1:76" s="191" customFormat="1" ht="33" x14ac:dyDescent="0.25">
      <c r="A36" s="17"/>
      <c r="B36" s="192">
        <v>29</v>
      </c>
      <c r="C36" s="177" t="s">
        <v>597</v>
      </c>
      <c r="D36" s="180">
        <v>443</v>
      </c>
      <c r="E36" s="195">
        <f t="shared" si="3"/>
        <v>3496038.6271500001</v>
      </c>
      <c r="F36" s="194"/>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7"/>
      <c r="BK36" s="17"/>
      <c r="BL36" s="17"/>
      <c r="BM36" s="17"/>
      <c r="BN36" s="17"/>
      <c r="BO36" s="17"/>
      <c r="BP36" s="17"/>
      <c r="BQ36" s="17"/>
      <c r="BR36" s="17"/>
      <c r="BS36" s="17"/>
      <c r="BT36" s="17"/>
      <c r="BU36" s="17"/>
      <c r="BV36" s="17"/>
      <c r="BW36" s="17"/>
      <c r="BX36" s="17"/>
    </row>
    <row r="37" spans="1:76" s="191" customFormat="1" ht="33" x14ac:dyDescent="0.25">
      <c r="A37" s="17"/>
      <c r="B37" s="192">
        <v>30</v>
      </c>
      <c r="C37" s="177" t="s">
        <v>598</v>
      </c>
      <c r="D37" s="180">
        <v>714</v>
      </c>
      <c r="E37" s="195">
        <f t="shared" si="3"/>
        <v>5634698.8256999999</v>
      </c>
      <c r="F37" s="194"/>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7"/>
      <c r="BK37" s="17"/>
      <c r="BL37" s="17"/>
      <c r="BM37" s="17"/>
      <c r="BN37" s="17"/>
      <c r="BO37" s="17"/>
      <c r="BP37" s="17"/>
      <c r="BQ37" s="17"/>
      <c r="BR37" s="17"/>
      <c r="BS37" s="17"/>
      <c r="BT37" s="17"/>
      <c r="BU37" s="17"/>
      <c r="BV37" s="17"/>
      <c r="BW37" s="17"/>
      <c r="BX37" s="17"/>
    </row>
    <row r="38" spans="1:76" s="191" customFormat="1" ht="33" x14ac:dyDescent="0.25">
      <c r="A38" s="17"/>
      <c r="B38" s="504">
        <v>31</v>
      </c>
      <c r="C38" s="181" t="s">
        <v>599</v>
      </c>
      <c r="D38" s="505">
        <v>142</v>
      </c>
      <c r="E38" s="508">
        <f>D38*4.5/1000*1753718.9-0.05</f>
        <v>1120626.3270999999</v>
      </c>
      <c r="F38" s="50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7"/>
      <c r="BK38" s="17"/>
      <c r="BL38" s="17"/>
      <c r="BM38" s="17"/>
      <c r="BN38" s="17"/>
      <c r="BO38" s="17"/>
      <c r="BP38" s="17"/>
      <c r="BQ38" s="17"/>
      <c r="BR38" s="17"/>
      <c r="BS38" s="17"/>
      <c r="BT38" s="17"/>
      <c r="BU38" s="17"/>
      <c r="BV38" s="17"/>
      <c r="BW38" s="17"/>
      <c r="BX38" s="17"/>
    </row>
    <row r="39" spans="1:76" s="191" customFormat="1" ht="33" x14ac:dyDescent="0.25">
      <c r="A39" s="17"/>
      <c r="B39" s="192">
        <v>32</v>
      </c>
      <c r="C39" s="177" t="s">
        <v>600</v>
      </c>
      <c r="D39" s="180">
        <v>160</v>
      </c>
      <c r="E39" s="195">
        <f t="shared" si="3"/>
        <v>1262677.6079999998</v>
      </c>
      <c r="F39" s="194"/>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7"/>
      <c r="BK39" s="17"/>
      <c r="BL39" s="17"/>
      <c r="BM39" s="17"/>
      <c r="BN39" s="17"/>
      <c r="BO39" s="17"/>
      <c r="BP39" s="17"/>
      <c r="BQ39" s="17"/>
      <c r="BR39" s="17"/>
      <c r="BS39" s="17"/>
      <c r="BT39" s="17"/>
      <c r="BU39" s="17"/>
      <c r="BV39" s="17"/>
      <c r="BW39" s="17"/>
      <c r="BX39" s="17"/>
    </row>
    <row r="40" spans="1:76" s="191" customFormat="1" ht="33" x14ac:dyDescent="0.25">
      <c r="A40" s="17"/>
      <c r="B40" s="192">
        <v>33</v>
      </c>
      <c r="C40" s="177" t="s">
        <v>601</v>
      </c>
      <c r="D40" s="180">
        <v>467</v>
      </c>
      <c r="E40" s="195">
        <f t="shared" si="3"/>
        <v>3685440.26835</v>
      </c>
      <c r="F40" s="194"/>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7"/>
      <c r="BK40" s="17"/>
      <c r="BL40" s="17"/>
      <c r="BM40" s="17"/>
      <c r="BN40" s="17"/>
      <c r="BO40" s="17"/>
      <c r="BP40" s="17"/>
      <c r="BQ40" s="17"/>
      <c r="BR40" s="17"/>
      <c r="BS40" s="17"/>
      <c r="BT40" s="17"/>
      <c r="BU40" s="17"/>
      <c r="BV40" s="17"/>
      <c r="BW40" s="17"/>
      <c r="BX40" s="17"/>
    </row>
    <row r="41" spans="1:76" s="191" customFormat="1" ht="33" x14ac:dyDescent="0.25">
      <c r="A41" s="17"/>
      <c r="B41" s="192">
        <v>34</v>
      </c>
      <c r="C41" s="177" t="s">
        <v>602</v>
      </c>
      <c r="D41" s="180">
        <v>186</v>
      </c>
      <c r="E41" s="195">
        <f t="shared" si="3"/>
        <v>1467862.7192999998</v>
      </c>
      <c r="F41" s="194"/>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7"/>
      <c r="BK41" s="17"/>
      <c r="BL41" s="17"/>
      <c r="BM41" s="17"/>
      <c r="BN41" s="17"/>
      <c r="BO41" s="17"/>
      <c r="BP41" s="17"/>
      <c r="BQ41" s="17"/>
      <c r="BR41" s="17"/>
      <c r="BS41" s="17"/>
      <c r="BT41" s="17"/>
      <c r="BU41" s="17"/>
      <c r="BV41" s="17"/>
      <c r="BW41" s="17"/>
      <c r="BX41" s="17"/>
    </row>
    <row r="42" spans="1:76" s="191" customFormat="1" ht="49.5" x14ac:dyDescent="0.25">
      <c r="A42" s="17"/>
      <c r="B42" s="192">
        <v>35</v>
      </c>
      <c r="C42" s="177" t="s">
        <v>724</v>
      </c>
      <c r="D42" s="180">
        <v>448</v>
      </c>
      <c r="E42" s="195">
        <f t="shared" si="3"/>
        <v>3535497.3023999999</v>
      </c>
      <c r="F42" s="194"/>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7"/>
      <c r="BK42" s="17"/>
      <c r="BL42" s="17"/>
      <c r="BM42" s="17"/>
      <c r="BN42" s="17"/>
      <c r="BO42" s="17"/>
      <c r="BP42" s="17"/>
      <c r="BQ42" s="17"/>
      <c r="BR42" s="17"/>
      <c r="BS42" s="17"/>
      <c r="BT42" s="17"/>
      <c r="BU42" s="17"/>
      <c r="BV42" s="17"/>
      <c r="BW42" s="17"/>
      <c r="BX42" s="17"/>
    </row>
    <row r="43" spans="1:76" s="191" customFormat="1" ht="33" x14ac:dyDescent="0.25">
      <c r="A43" s="17"/>
      <c r="B43" s="192">
        <v>36</v>
      </c>
      <c r="C43" s="177" t="s">
        <v>603</v>
      </c>
      <c r="D43" s="180">
        <v>911</v>
      </c>
      <c r="E43" s="195">
        <f t="shared" si="3"/>
        <v>7189370.6305499999</v>
      </c>
      <c r="F43" s="194"/>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row>
    <row r="44" spans="1:76" s="191" customFormat="1" ht="33" x14ac:dyDescent="0.25">
      <c r="A44" s="17"/>
      <c r="B44" s="504">
        <v>37</v>
      </c>
      <c r="C44" s="181" t="s">
        <v>725</v>
      </c>
      <c r="D44" s="505">
        <v>972</v>
      </c>
      <c r="E44" s="508">
        <f>D44*4.5/1000*1753718.9-0.02</f>
        <v>7670766.4485999998</v>
      </c>
      <c r="F44" s="50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7"/>
      <c r="BK44" s="17"/>
      <c r="BL44" s="17"/>
      <c r="BM44" s="17"/>
      <c r="BN44" s="17"/>
      <c r="BO44" s="17"/>
      <c r="BP44" s="17"/>
      <c r="BQ44" s="17"/>
      <c r="BR44" s="17"/>
      <c r="BS44" s="17"/>
      <c r="BT44" s="17"/>
      <c r="BU44" s="17"/>
      <c r="BV44" s="17"/>
      <c r="BW44" s="17"/>
      <c r="BX44" s="17"/>
    </row>
    <row r="45" spans="1:76" s="191" customFormat="1" ht="33" x14ac:dyDescent="0.25">
      <c r="A45" s="17"/>
      <c r="B45" s="192">
        <v>38</v>
      </c>
      <c r="C45" s="177" t="s">
        <v>604</v>
      </c>
      <c r="D45" s="180">
        <v>643</v>
      </c>
      <c r="E45" s="195">
        <f t="shared" si="3"/>
        <v>5074385.6371499998</v>
      </c>
      <c r="F45" s="194"/>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7"/>
      <c r="BK45" s="17"/>
      <c r="BL45" s="17"/>
      <c r="BM45" s="17"/>
      <c r="BN45" s="17"/>
      <c r="BO45" s="17"/>
      <c r="BP45" s="17"/>
      <c r="BQ45" s="17"/>
      <c r="BR45" s="17"/>
      <c r="BS45" s="17"/>
      <c r="BT45" s="17"/>
      <c r="BU45" s="17"/>
      <c r="BV45" s="17"/>
      <c r="BW45" s="17"/>
      <c r="BX45" s="17"/>
    </row>
    <row r="46" spans="1:76" s="191" customFormat="1" ht="33" x14ac:dyDescent="0.25">
      <c r="A46" s="17"/>
      <c r="B46" s="504">
        <v>39</v>
      </c>
      <c r="C46" s="181" t="s">
        <v>670</v>
      </c>
      <c r="D46" s="505">
        <v>349</v>
      </c>
      <c r="E46" s="508">
        <f>D46*4.5/1000*1753718.9+0.02</f>
        <v>2754215.5524499998</v>
      </c>
      <c r="F46" s="50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c r="BT46" s="17"/>
      <c r="BU46" s="17"/>
      <c r="BV46" s="17"/>
      <c r="BW46" s="17"/>
      <c r="BX46" s="17"/>
    </row>
    <row r="47" spans="1:76" s="191" customFormat="1" ht="33" x14ac:dyDescent="0.25">
      <c r="A47" s="17"/>
      <c r="B47" s="192">
        <v>40</v>
      </c>
      <c r="C47" s="177" t="s">
        <v>605</v>
      </c>
      <c r="D47" s="180">
        <v>151</v>
      </c>
      <c r="E47" s="195">
        <f t="shared" si="3"/>
        <v>1191651.9925499998</v>
      </c>
      <c r="F47" s="194"/>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7"/>
      <c r="BK47" s="17"/>
      <c r="BL47" s="17"/>
      <c r="BM47" s="17"/>
      <c r="BN47" s="17"/>
      <c r="BO47" s="17"/>
      <c r="BP47" s="17"/>
      <c r="BQ47" s="17"/>
      <c r="BR47" s="17"/>
      <c r="BS47" s="17"/>
      <c r="BT47" s="17"/>
      <c r="BU47" s="17"/>
      <c r="BV47" s="17"/>
      <c r="BW47" s="17"/>
      <c r="BX47" s="17"/>
    </row>
    <row r="48" spans="1:76" s="191" customFormat="1" ht="33" x14ac:dyDescent="0.25">
      <c r="A48" s="17"/>
      <c r="B48" s="192">
        <v>41</v>
      </c>
      <c r="C48" s="177" t="s">
        <v>606</v>
      </c>
      <c r="D48" s="180">
        <v>595</v>
      </c>
      <c r="E48" s="195">
        <f t="shared" si="3"/>
        <v>4695582.3547499999</v>
      </c>
      <c r="F48" s="194"/>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c r="BT48" s="17"/>
      <c r="BU48" s="17"/>
      <c r="BV48" s="17"/>
      <c r="BW48" s="17"/>
      <c r="BX48" s="17"/>
    </row>
    <row r="49" spans="1:76" s="191" customFormat="1" ht="33" x14ac:dyDescent="0.25">
      <c r="A49" s="17"/>
      <c r="B49" s="192">
        <v>42</v>
      </c>
      <c r="C49" s="177" t="s">
        <v>607</v>
      </c>
      <c r="D49" s="180">
        <v>331</v>
      </c>
      <c r="E49" s="195">
        <f t="shared" si="3"/>
        <v>2612164.30155</v>
      </c>
      <c r="F49" s="194"/>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row>
    <row r="50" spans="1:76" s="191" customFormat="1" ht="33" x14ac:dyDescent="0.25">
      <c r="A50" s="17"/>
      <c r="B50" s="192">
        <v>43</v>
      </c>
      <c r="C50" s="177" t="s">
        <v>608</v>
      </c>
      <c r="D50" s="180">
        <v>227</v>
      </c>
      <c r="E50" s="195">
        <f t="shared" si="3"/>
        <v>1791423.85635</v>
      </c>
      <c r="F50" s="194"/>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7"/>
      <c r="BK50" s="17"/>
      <c r="BL50" s="17"/>
      <c r="BM50" s="17"/>
      <c r="BN50" s="17"/>
      <c r="BO50" s="17"/>
      <c r="BP50" s="17"/>
      <c r="BQ50" s="17"/>
      <c r="BR50" s="17"/>
      <c r="BS50" s="17"/>
      <c r="BT50" s="17"/>
      <c r="BU50" s="17"/>
      <c r="BV50" s="17"/>
      <c r="BW50" s="17"/>
      <c r="BX50" s="17"/>
    </row>
    <row r="51" spans="1:76" s="191" customFormat="1" ht="33" x14ac:dyDescent="0.25">
      <c r="A51" s="17"/>
      <c r="B51" s="192">
        <v>44</v>
      </c>
      <c r="C51" s="177" t="s">
        <v>609</v>
      </c>
      <c r="D51" s="180">
        <v>578</v>
      </c>
      <c r="E51" s="195">
        <f t="shared" si="3"/>
        <v>4561422.8588999994</v>
      </c>
      <c r="F51" s="194"/>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7"/>
      <c r="BK51" s="17"/>
      <c r="BL51" s="17"/>
      <c r="BM51" s="17"/>
      <c r="BN51" s="17"/>
      <c r="BO51" s="17"/>
      <c r="BP51" s="17"/>
      <c r="BQ51" s="17"/>
      <c r="BR51" s="17"/>
      <c r="BS51" s="17"/>
      <c r="BT51" s="17"/>
      <c r="BU51" s="17"/>
      <c r="BV51" s="17"/>
      <c r="BW51" s="17"/>
      <c r="BX51" s="17"/>
    </row>
    <row r="52" spans="1:76" s="191" customFormat="1" ht="33" x14ac:dyDescent="0.25">
      <c r="A52" s="17"/>
      <c r="B52" s="192">
        <v>45</v>
      </c>
      <c r="C52" s="177" t="s">
        <v>671</v>
      </c>
      <c r="D52" s="180">
        <v>173</v>
      </c>
      <c r="E52" s="195">
        <f t="shared" si="3"/>
        <v>1365270.1636499998</v>
      </c>
      <c r="F52" s="194"/>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row>
    <row r="53" spans="1:76" s="191" customFormat="1" ht="33" x14ac:dyDescent="0.25">
      <c r="A53" s="17"/>
      <c r="B53" s="192">
        <v>46</v>
      </c>
      <c r="C53" s="177" t="s">
        <v>610</v>
      </c>
      <c r="D53" s="180">
        <v>133</v>
      </c>
      <c r="E53" s="195">
        <f t="shared" si="3"/>
        <v>1049600.76165</v>
      </c>
      <c r="F53" s="194"/>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c r="BT53" s="17"/>
      <c r="BU53" s="17"/>
      <c r="BV53" s="17"/>
      <c r="BW53" s="17"/>
      <c r="BX53" s="17"/>
    </row>
    <row r="54" spans="1:76" s="191" customFormat="1" ht="33" x14ac:dyDescent="0.25">
      <c r="A54" s="17"/>
      <c r="B54" s="192">
        <v>47</v>
      </c>
      <c r="C54" s="177" t="s">
        <v>612</v>
      </c>
      <c r="D54" s="180">
        <v>123</v>
      </c>
      <c r="E54" s="195">
        <f t="shared" si="3"/>
        <v>970683.41114999994</v>
      </c>
      <c r="F54" s="194"/>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c r="BT54" s="17"/>
      <c r="BU54" s="17"/>
      <c r="BV54" s="17"/>
      <c r="BW54" s="17"/>
      <c r="BX54" s="17"/>
    </row>
    <row r="55" spans="1:76" s="191" customFormat="1" ht="33" x14ac:dyDescent="0.25">
      <c r="A55" s="17"/>
      <c r="B55" s="192">
        <v>48</v>
      </c>
      <c r="C55" s="177" t="s">
        <v>613</v>
      </c>
      <c r="D55" s="180">
        <v>160</v>
      </c>
      <c r="E55" s="195">
        <f t="shared" si="3"/>
        <v>1262677.6079999998</v>
      </c>
      <c r="F55" s="194"/>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c r="BT55" s="17"/>
      <c r="BU55" s="17"/>
      <c r="BV55" s="17"/>
      <c r="BW55" s="17"/>
      <c r="BX55" s="17"/>
    </row>
    <row r="56" spans="1:76" s="191" customFormat="1" ht="33" x14ac:dyDescent="0.25">
      <c r="A56" s="17"/>
      <c r="B56" s="504">
        <v>49</v>
      </c>
      <c r="C56" s="181" t="s">
        <v>614</v>
      </c>
      <c r="D56" s="505">
        <v>979</v>
      </c>
      <c r="E56" s="508">
        <f>D56*4.5/1000*1753718.9+0.02</f>
        <v>7726008.6339499988</v>
      </c>
      <c r="F56" s="507"/>
      <c r="G56" s="17"/>
      <c r="H56" s="17"/>
      <c r="I56" s="17"/>
      <c r="J56" s="17"/>
      <c r="K56" s="17"/>
      <c r="L56" s="17"/>
      <c r="M56" s="17"/>
      <c r="N56" s="17"/>
      <c r="O56" s="17"/>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c r="BD56" s="17"/>
      <c r="BE56" s="17"/>
      <c r="BF56" s="17"/>
      <c r="BG56" s="17"/>
      <c r="BH56" s="17"/>
      <c r="BI56" s="17"/>
      <c r="BJ56" s="17"/>
      <c r="BK56" s="17"/>
      <c r="BL56" s="17"/>
      <c r="BM56" s="17"/>
      <c r="BN56" s="17"/>
      <c r="BO56" s="17"/>
      <c r="BP56" s="17"/>
      <c r="BQ56" s="17"/>
      <c r="BR56" s="17"/>
      <c r="BS56" s="17"/>
      <c r="BT56" s="17"/>
      <c r="BU56" s="17"/>
      <c r="BV56" s="17"/>
      <c r="BW56" s="17"/>
      <c r="BX56" s="17"/>
    </row>
    <row r="57" spans="1:76" s="191" customFormat="1" ht="33" x14ac:dyDescent="0.25">
      <c r="A57" s="17"/>
      <c r="B57" s="192">
        <v>50</v>
      </c>
      <c r="C57" s="177" t="s">
        <v>615</v>
      </c>
      <c r="D57" s="180">
        <v>638</v>
      </c>
      <c r="E57" s="195">
        <f>D57*4.5/1000*1753718.9</f>
        <v>5034926.9618999995</v>
      </c>
      <c r="F57" s="194"/>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c r="BD57" s="17"/>
      <c r="BE57" s="17"/>
      <c r="BF57" s="17"/>
      <c r="BG57" s="17"/>
      <c r="BH57" s="17"/>
      <c r="BI57" s="17"/>
      <c r="BJ57" s="17"/>
      <c r="BK57" s="17"/>
      <c r="BL57" s="17"/>
      <c r="BM57" s="17"/>
      <c r="BN57" s="17"/>
      <c r="BO57" s="17"/>
      <c r="BP57" s="17"/>
      <c r="BQ57" s="17"/>
      <c r="BR57" s="17"/>
      <c r="BS57" s="17"/>
      <c r="BT57" s="17"/>
      <c r="BU57" s="17"/>
      <c r="BV57" s="17"/>
      <c r="BW57" s="17"/>
      <c r="BX57" s="17"/>
    </row>
    <row r="58" spans="1:76" s="191" customFormat="1" ht="33" x14ac:dyDescent="0.25">
      <c r="A58" s="17"/>
      <c r="B58" s="192">
        <v>51</v>
      </c>
      <c r="C58" s="177" t="s">
        <v>616</v>
      </c>
      <c r="D58" s="180">
        <v>185</v>
      </c>
      <c r="E58" s="195">
        <f>D58*4.5/1000*1753718.9</f>
        <v>1459970.98425</v>
      </c>
      <c r="F58" s="194"/>
      <c r="G58" s="17"/>
      <c r="H58" s="17"/>
      <c r="I58" s="17"/>
      <c r="J58" s="17"/>
      <c r="K58" s="17"/>
      <c r="L58" s="17"/>
      <c r="M58" s="17"/>
      <c r="N58" s="17"/>
      <c r="O58" s="17"/>
      <c r="P58" s="17"/>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7"/>
      <c r="AR58" s="17"/>
      <c r="AS58" s="17"/>
      <c r="AT58" s="17"/>
      <c r="AU58" s="17"/>
      <c r="AV58" s="17"/>
      <c r="AW58" s="17"/>
      <c r="AX58" s="17"/>
      <c r="AY58" s="17"/>
      <c r="AZ58" s="17"/>
      <c r="BA58" s="17"/>
      <c r="BB58" s="17"/>
      <c r="BC58" s="17"/>
      <c r="BD58" s="17"/>
      <c r="BE58" s="17"/>
      <c r="BF58" s="17"/>
      <c r="BG58" s="17"/>
      <c r="BH58" s="17"/>
      <c r="BI58" s="17"/>
      <c r="BJ58" s="17"/>
      <c r="BK58" s="17"/>
      <c r="BL58" s="17"/>
      <c r="BM58" s="17"/>
      <c r="BN58" s="17"/>
      <c r="BO58" s="17"/>
      <c r="BP58" s="17"/>
      <c r="BQ58" s="17"/>
      <c r="BR58" s="17"/>
      <c r="BS58" s="17"/>
      <c r="BT58" s="17"/>
      <c r="BU58" s="17"/>
      <c r="BV58" s="17"/>
      <c r="BW58" s="17"/>
      <c r="BX58" s="17"/>
    </row>
    <row r="59" spans="1:76" s="191" customFormat="1" ht="33" x14ac:dyDescent="0.25">
      <c r="A59" s="17"/>
      <c r="B59" s="192">
        <v>52</v>
      </c>
      <c r="C59" s="177" t="s">
        <v>617</v>
      </c>
      <c r="D59" s="180">
        <v>105</v>
      </c>
      <c r="E59" s="195">
        <f>D59*4.5/1000*1753718.9</f>
        <v>828632.18024999986</v>
      </c>
      <c r="F59" s="194"/>
      <c r="G59" s="17"/>
      <c r="H59" s="17"/>
      <c r="I59" s="17"/>
      <c r="J59" s="17"/>
      <c r="K59" s="17"/>
      <c r="L59" s="17"/>
      <c r="M59" s="17"/>
      <c r="N59" s="17"/>
      <c r="O59" s="17"/>
      <c r="P59" s="17"/>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7"/>
      <c r="AR59" s="17"/>
      <c r="AS59" s="17"/>
      <c r="AT59" s="17"/>
      <c r="AU59" s="17"/>
      <c r="AV59" s="17"/>
      <c r="AW59" s="17"/>
      <c r="AX59" s="17"/>
      <c r="AY59" s="17"/>
      <c r="AZ59" s="17"/>
      <c r="BA59" s="17"/>
      <c r="BB59" s="17"/>
      <c r="BC59" s="17"/>
      <c r="BD59" s="17"/>
      <c r="BE59" s="17"/>
      <c r="BF59" s="17"/>
      <c r="BG59" s="17"/>
      <c r="BH59" s="17"/>
      <c r="BI59" s="17"/>
      <c r="BJ59" s="17"/>
      <c r="BK59" s="17"/>
      <c r="BL59" s="17"/>
      <c r="BM59" s="17"/>
      <c r="BN59" s="17"/>
      <c r="BO59" s="17"/>
      <c r="BP59" s="17"/>
      <c r="BQ59" s="17"/>
      <c r="BR59" s="17"/>
      <c r="BS59" s="17"/>
      <c r="BT59" s="17"/>
      <c r="BU59" s="17"/>
      <c r="BV59" s="17"/>
      <c r="BW59" s="17"/>
      <c r="BX59" s="17"/>
    </row>
    <row r="60" spans="1:76" s="191" customFormat="1" ht="33" x14ac:dyDescent="0.25">
      <c r="A60" s="17"/>
      <c r="B60" s="192">
        <v>53</v>
      </c>
      <c r="C60" s="177" t="s">
        <v>618</v>
      </c>
      <c r="D60" s="180">
        <v>323</v>
      </c>
      <c r="E60" s="195">
        <f>D60*4.5/1000*1753718.9</f>
        <v>2549030.4211499998</v>
      </c>
      <c r="F60" s="194"/>
      <c r="G60" s="17"/>
      <c r="H60" s="17"/>
      <c r="I60" s="17"/>
      <c r="J60" s="17"/>
      <c r="K60" s="17"/>
      <c r="L60" s="17"/>
      <c r="M60" s="17"/>
      <c r="N60" s="17"/>
      <c r="O60" s="17"/>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c r="AR60" s="17"/>
      <c r="AS60" s="17"/>
      <c r="AT60" s="17"/>
      <c r="AU60" s="17"/>
      <c r="AV60" s="17"/>
      <c r="AW60" s="17"/>
      <c r="AX60" s="17"/>
      <c r="AY60" s="17"/>
      <c r="AZ60" s="17"/>
      <c r="BA60" s="17"/>
      <c r="BB60" s="17"/>
      <c r="BC60" s="17"/>
      <c r="BD60" s="17"/>
      <c r="BE60" s="17"/>
      <c r="BF60" s="17"/>
      <c r="BG60" s="17"/>
      <c r="BH60" s="17"/>
      <c r="BI60" s="17"/>
      <c r="BJ60" s="17"/>
      <c r="BK60" s="17"/>
      <c r="BL60" s="17"/>
      <c r="BM60" s="17"/>
      <c r="BN60" s="17"/>
      <c r="BO60" s="17"/>
      <c r="BP60" s="17"/>
      <c r="BQ60" s="17"/>
      <c r="BR60" s="17"/>
      <c r="BS60" s="17"/>
      <c r="BT60" s="17"/>
      <c r="BU60" s="17"/>
      <c r="BV60" s="17"/>
      <c r="BW60" s="17"/>
      <c r="BX60" s="17"/>
    </row>
    <row r="61" spans="1:76" s="191" customFormat="1" ht="33" x14ac:dyDescent="0.25">
      <c r="A61" s="17"/>
      <c r="B61" s="192">
        <v>54</v>
      </c>
      <c r="C61" s="177" t="s">
        <v>619</v>
      </c>
      <c r="D61" s="180">
        <v>303</v>
      </c>
      <c r="E61" s="195">
        <f>D61*4.5/1000*1753718.9</f>
        <v>2391195.72015</v>
      </c>
      <c r="F61" s="194"/>
      <c r="G61" s="17"/>
      <c r="H61" s="17"/>
      <c r="I61" s="17"/>
      <c r="J61" s="17"/>
      <c r="K61" s="17"/>
      <c r="L61" s="17"/>
      <c r="M61" s="17"/>
      <c r="N61" s="17"/>
      <c r="O61" s="17"/>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c r="AR61" s="17"/>
      <c r="AS61" s="17"/>
      <c r="AT61" s="17"/>
      <c r="AU61" s="17"/>
      <c r="AV61" s="17"/>
      <c r="AW61" s="17"/>
      <c r="AX61" s="17"/>
      <c r="AY61" s="17"/>
      <c r="AZ61" s="17"/>
      <c r="BA61" s="17"/>
      <c r="BB61" s="17"/>
      <c r="BC61" s="17"/>
      <c r="BD61" s="17"/>
      <c r="BE61" s="17"/>
      <c r="BF61" s="17"/>
      <c r="BG61" s="17"/>
      <c r="BH61" s="17"/>
      <c r="BI61" s="17"/>
      <c r="BJ61" s="17"/>
      <c r="BK61" s="17"/>
      <c r="BL61" s="17"/>
      <c r="BM61" s="17"/>
      <c r="BN61" s="17"/>
      <c r="BO61" s="17"/>
      <c r="BP61" s="17"/>
      <c r="BQ61" s="17"/>
      <c r="BR61" s="17"/>
      <c r="BS61" s="17"/>
      <c r="BT61" s="17"/>
      <c r="BU61" s="17"/>
      <c r="BV61" s="17"/>
      <c r="BW61" s="17"/>
      <c r="BX61" s="17"/>
    </row>
    <row r="62" spans="1:76" s="191" customFormat="1" ht="33" x14ac:dyDescent="0.25">
      <c r="A62" s="17"/>
      <c r="B62" s="192">
        <v>55</v>
      </c>
      <c r="C62" s="177" t="s">
        <v>620</v>
      </c>
      <c r="D62" s="180">
        <v>1500</v>
      </c>
      <c r="E62" s="195">
        <f t="shared" ref="E62:E71" si="4">D62*4.5/1000*1753718.9</f>
        <v>11837602.574999999</v>
      </c>
      <c r="F62" s="194"/>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row>
    <row r="63" spans="1:76" s="191" customFormat="1" ht="33" x14ac:dyDescent="0.25">
      <c r="A63" s="17"/>
      <c r="B63" s="192">
        <v>56</v>
      </c>
      <c r="C63" s="177" t="s">
        <v>803</v>
      </c>
      <c r="D63" s="180">
        <v>877</v>
      </c>
      <c r="E63" s="195">
        <f t="shared" si="4"/>
        <v>6921051.6388499998</v>
      </c>
      <c r="F63" s="194"/>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row>
    <row r="64" spans="1:76" s="191" customFormat="1" ht="33" x14ac:dyDescent="0.25">
      <c r="A64" s="17"/>
      <c r="B64" s="192">
        <v>57</v>
      </c>
      <c r="C64" s="177" t="s">
        <v>621</v>
      </c>
      <c r="D64" s="180">
        <v>1000</v>
      </c>
      <c r="E64" s="195">
        <f t="shared" si="4"/>
        <v>7891735.0499999998</v>
      </c>
      <c r="F64" s="194"/>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row>
    <row r="65" spans="1:76" s="191" customFormat="1" ht="33" x14ac:dyDescent="0.25">
      <c r="A65" s="17"/>
      <c r="B65" s="192">
        <v>58</v>
      </c>
      <c r="C65" s="177" t="s">
        <v>622</v>
      </c>
      <c r="D65" s="180">
        <v>1000</v>
      </c>
      <c r="E65" s="195">
        <f t="shared" si="4"/>
        <v>7891735.0499999998</v>
      </c>
      <c r="F65" s="194"/>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row>
    <row r="66" spans="1:76" s="191" customFormat="1" ht="33" x14ac:dyDescent="0.25">
      <c r="A66" s="17"/>
      <c r="B66" s="192">
        <v>59</v>
      </c>
      <c r="C66" s="177" t="s">
        <v>625</v>
      </c>
      <c r="D66" s="180">
        <v>295</v>
      </c>
      <c r="E66" s="195">
        <f t="shared" si="4"/>
        <v>2328061.8397499998</v>
      </c>
      <c r="F66" s="194"/>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row>
    <row r="67" spans="1:76" s="191" customFormat="1" ht="33" x14ac:dyDescent="0.25">
      <c r="A67" s="17"/>
      <c r="B67" s="192">
        <v>60</v>
      </c>
      <c r="C67" s="177" t="s">
        <v>568</v>
      </c>
      <c r="D67" s="180">
        <v>1300</v>
      </c>
      <c r="E67" s="195">
        <f t="shared" si="4"/>
        <v>10259255.564999999</v>
      </c>
      <c r="F67" s="194"/>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row>
    <row r="68" spans="1:76" s="191" customFormat="1" ht="33" x14ac:dyDescent="0.25">
      <c r="A68" s="17"/>
      <c r="B68" s="192">
        <v>61</v>
      </c>
      <c r="C68" s="177" t="s">
        <v>530</v>
      </c>
      <c r="D68" s="180">
        <v>472</v>
      </c>
      <c r="E68" s="195">
        <f t="shared" si="4"/>
        <v>3724898.9435999999</v>
      </c>
      <c r="F68" s="194"/>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row>
    <row r="69" spans="1:76" s="191" customFormat="1" ht="33" x14ac:dyDescent="0.25">
      <c r="A69" s="17"/>
      <c r="B69" s="192">
        <v>62</v>
      </c>
      <c r="C69" s="177" t="s">
        <v>627</v>
      </c>
      <c r="D69" s="180">
        <v>343</v>
      </c>
      <c r="E69" s="195">
        <f t="shared" si="4"/>
        <v>2706865.1221500002</v>
      </c>
      <c r="F69" s="194"/>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row>
    <row r="70" spans="1:76" s="191" customFormat="1" ht="33" x14ac:dyDescent="0.25">
      <c r="A70" s="17"/>
      <c r="B70" s="504">
        <v>63</v>
      </c>
      <c r="C70" s="181" t="s">
        <v>628</v>
      </c>
      <c r="D70" s="505">
        <v>454</v>
      </c>
      <c r="E70" s="508">
        <f>D70*4.5/1000*1753718.9+0.02</f>
        <v>3582847.7327000001</v>
      </c>
      <c r="F70" s="50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row>
    <row r="71" spans="1:76" s="191" customFormat="1" ht="33" x14ac:dyDescent="0.25">
      <c r="A71" s="17"/>
      <c r="B71" s="192">
        <v>64</v>
      </c>
      <c r="C71" s="177" t="s">
        <v>629</v>
      </c>
      <c r="D71" s="180">
        <v>328</v>
      </c>
      <c r="E71" s="195">
        <f t="shared" si="4"/>
        <v>2588489.0963999997</v>
      </c>
      <c r="F71" s="194"/>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row>
    <row r="72" spans="1:76" s="211" customFormat="1" ht="16.5" x14ac:dyDescent="0.25">
      <c r="A72" s="87"/>
      <c r="B72" s="201"/>
      <c r="C72" s="208" t="s">
        <v>490</v>
      </c>
      <c r="D72" s="209">
        <f>SUM(D14:D71)</f>
        <v>36083</v>
      </c>
      <c r="E72" s="210">
        <f>SUM(E14:E71)</f>
        <v>284757475.82915008</v>
      </c>
      <c r="F72" s="201"/>
      <c r="G72" s="87"/>
      <c r="H72" s="87"/>
      <c r="I72" s="87"/>
      <c r="J72" s="87"/>
      <c r="K72" s="87"/>
      <c r="L72" s="87"/>
      <c r="M72" s="87"/>
      <c r="N72" s="87"/>
      <c r="O72" s="87"/>
      <c r="P72" s="87"/>
      <c r="Q72" s="87"/>
      <c r="R72" s="87"/>
      <c r="S72" s="87"/>
      <c r="T72" s="87"/>
      <c r="U72" s="87"/>
      <c r="V72" s="87"/>
      <c r="W72" s="87"/>
      <c r="X72" s="87"/>
      <c r="Y72" s="87"/>
      <c r="Z72" s="87"/>
      <c r="AA72" s="87"/>
      <c r="AB72" s="87"/>
      <c r="AC72" s="87"/>
      <c r="AD72" s="87"/>
      <c r="AE72" s="87"/>
      <c r="AF72" s="87"/>
      <c r="AG72" s="87"/>
      <c r="AH72" s="87"/>
      <c r="AI72" s="87"/>
      <c r="AJ72" s="87"/>
      <c r="AK72" s="87"/>
      <c r="AL72" s="87"/>
      <c r="AM72" s="87"/>
      <c r="AN72" s="87"/>
      <c r="AO72" s="87"/>
      <c r="AP72" s="87"/>
      <c r="AQ72" s="87"/>
      <c r="AR72" s="87"/>
      <c r="AS72" s="87"/>
      <c r="AT72" s="87"/>
      <c r="AU72" s="87"/>
      <c r="AV72" s="87"/>
      <c r="AW72" s="87"/>
      <c r="AX72" s="87"/>
      <c r="AY72" s="87"/>
      <c r="AZ72" s="87"/>
      <c r="BA72" s="87"/>
      <c r="BB72" s="87"/>
      <c r="BC72" s="87"/>
      <c r="BD72" s="87"/>
      <c r="BE72" s="87"/>
      <c r="BF72" s="87"/>
      <c r="BG72" s="87"/>
      <c r="BH72" s="87"/>
      <c r="BI72" s="87"/>
      <c r="BJ72" s="87"/>
      <c r="BK72" s="87"/>
      <c r="BL72" s="87"/>
      <c r="BM72" s="87"/>
      <c r="BN72" s="87"/>
      <c r="BO72" s="87"/>
      <c r="BP72" s="87"/>
      <c r="BQ72" s="87"/>
      <c r="BR72" s="87"/>
      <c r="BS72" s="87"/>
      <c r="BT72" s="87"/>
      <c r="BU72" s="87"/>
      <c r="BV72" s="87"/>
      <c r="BW72" s="87"/>
      <c r="BX72" s="87"/>
    </row>
    <row r="73" spans="1:76" s="196" customFormat="1" ht="16.5" x14ac:dyDescent="0.25">
      <c r="A73" s="17"/>
      <c r="B73" s="785">
        <v>2025</v>
      </c>
      <c r="C73" s="786"/>
      <c r="D73" s="786"/>
      <c r="E73" s="786"/>
      <c r="F73" s="78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row>
    <row r="74" spans="1:76" s="196" customFormat="1" ht="33" x14ac:dyDescent="0.25">
      <c r="A74" s="17"/>
      <c r="B74" s="197">
        <v>65</v>
      </c>
      <c r="C74" s="178" t="s">
        <v>626</v>
      </c>
      <c r="D74" s="213">
        <v>314</v>
      </c>
      <c r="E74" s="198">
        <v>2545461.08</v>
      </c>
      <c r="F74" s="199"/>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row>
    <row r="75" spans="1:76" s="196" customFormat="1" ht="33" x14ac:dyDescent="0.25">
      <c r="A75" s="17"/>
      <c r="B75" s="514">
        <v>66</v>
      </c>
      <c r="C75" s="515" t="s">
        <v>525</v>
      </c>
      <c r="D75" s="516">
        <v>538</v>
      </c>
      <c r="E75" s="518">
        <v>4245753.46</v>
      </c>
      <c r="F75" s="5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row>
    <row r="76" spans="1:76" s="196" customFormat="1" ht="33" x14ac:dyDescent="0.25">
      <c r="A76" s="17"/>
      <c r="B76" s="197">
        <v>67</v>
      </c>
      <c r="C76" s="178" t="s">
        <v>526</v>
      </c>
      <c r="D76" s="213">
        <v>206</v>
      </c>
      <c r="E76" s="195">
        <f t="shared" ref="E76:E103" si="5">D76*4.5/1000*1753718.9</f>
        <v>1625697.4202999999</v>
      </c>
      <c r="F76" s="199"/>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row>
    <row r="77" spans="1:76" s="196" customFormat="1" ht="33" x14ac:dyDescent="0.25">
      <c r="A77" s="17"/>
      <c r="B77" s="197">
        <v>68</v>
      </c>
      <c r="C77" s="178" t="s">
        <v>527</v>
      </c>
      <c r="D77" s="213">
        <v>192</v>
      </c>
      <c r="E77" s="195">
        <f t="shared" si="5"/>
        <v>1515213.1295999999</v>
      </c>
      <c r="F77" s="199"/>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row>
    <row r="78" spans="1:76" s="196" customFormat="1" ht="33" x14ac:dyDescent="0.25">
      <c r="A78" s="17"/>
      <c r="B78" s="197">
        <v>69</v>
      </c>
      <c r="C78" s="178" t="s">
        <v>528</v>
      </c>
      <c r="D78" s="213">
        <v>1700</v>
      </c>
      <c r="E78" s="198">
        <f t="shared" si="5"/>
        <v>13415949.584999999</v>
      </c>
      <c r="F78" s="199"/>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row>
    <row r="79" spans="1:76" s="196" customFormat="1" ht="33" x14ac:dyDescent="0.25">
      <c r="A79" s="17"/>
      <c r="B79" s="197">
        <v>70</v>
      </c>
      <c r="C79" s="178" t="s">
        <v>529</v>
      </c>
      <c r="D79" s="213">
        <v>184</v>
      </c>
      <c r="E79" s="198">
        <f t="shared" si="5"/>
        <v>1452079.2492</v>
      </c>
      <c r="F79" s="199"/>
      <c r="G79" s="17"/>
      <c r="H79" s="17"/>
      <c r="I79" s="17"/>
      <c r="J79" s="17"/>
      <c r="K79" s="17"/>
      <c r="L79" s="17"/>
      <c r="M79" s="17"/>
      <c r="N79" s="17"/>
      <c r="O79" s="17"/>
      <c r="P79" s="17"/>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row>
    <row r="80" spans="1:76" s="196" customFormat="1" ht="33" x14ac:dyDescent="0.25">
      <c r="A80" s="17"/>
      <c r="B80" s="197">
        <v>71</v>
      </c>
      <c r="C80" s="178" t="s">
        <v>531</v>
      </c>
      <c r="D80" s="213">
        <v>357</v>
      </c>
      <c r="E80" s="198">
        <f t="shared" si="5"/>
        <v>2817349.41285</v>
      </c>
      <c r="F80" s="199"/>
      <c r="G80" s="17"/>
      <c r="H80" s="17"/>
      <c r="I80" s="17"/>
      <c r="J80" s="17"/>
      <c r="K80" s="17"/>
      <c r="L80" s="17"/>
      <c r="M80" s="17"/>
      <c r="N80" s="17"/>
      <c r="O80" s="17"/>
      <c r="P80" s="17"/>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row>
    <row r="81" spans="1:76" s="196" customFormat="1" ht="33" x14ac:dyDescent="0.25">
      <c r="A81" s="17"/>
      <c r="B81" s="197">
        <v>72</v>
      </c>
      <c r="C81" s="178" t="s">
        <v>532</v>
      </c>
      <c r="D81" s="213">
        <v>852</v>
      </c>
      <c r="E81" s="198">
        <f t="shared" si="5"/>
        <v>6723758.2626</v>
      </c>
      <c r="F81" s="199"/>
      <c r="G81" s="17"/>
      <c r="H81" s="17"/>
      <c r="I81" s="17"/>
      <c r="J81" s="17"/>
      <c r="K81" s="17"/>
      <c r="L81" s="17"/>
      <c r="M81" s="17"/>
      <c r="N81" s="17"/>
      <c r="O81" s="17"/>
      <c r="P81" s="17"/>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row>
    <row r="82" spans="1:76" s="196" customFormat="1" ht="33" x14ac:dyDescent="0.25">
      <c r="A82" s="17"/>
      <c r="B82" s="509">
        <v>73</v>
      </c>
      <c r="C82" s="510" t="s">
        <v>533</v>
      </c>
      <c r="D82" s="511">
        <v>221</v>
      </c>
      <c r="E82" s="512">
        <f>D82*4.5/1000*1753718.9-0.01</f>
        <v>1744073.4360499999</v>
      </c>
      <c r="F82" s="513"/>
      <c r="G82" s="17"/>
      <c r="H82" s="17"/>
      <c r="I82" s="17"/>
      <c r="J82" s="17"/>
      <c r="K82" s="17"/>
      <c r="L82" s="17"/>
      <c r="M82" s="17"/>
      <c r="N82" s="17"/>
      <c r="O82" s="17"/>
      <c r="P82" s="17"/>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row>
    <row r="83" spans="1:76" s="196" customFormat="1" ht="33" x14ac:dyDescent="0.25">
      <c r="A83" s="17"/>
      <c r="B83" s="197">
        <v>74</v>
      </c>
      <c r="C83" s="178" t="s">
        <v>534</v>
      </c>
      <c r="D83" s="213">
        <v>295</v>
      </c>
      <c r="E83" s="198">
        <f t="shared" si="5"/>
        <v>2328061.8397499998</v>
      </c>
      <c r="F83" s="199"/>
      <c r="G83" s="17"/>
      <c r="H83" s="17"/>
      <c r="I83" s="17"/>
      <c r="J83" s="17"/>
      <c r="K83" s="17"/>
      <c r="L83" s="17"/>
      <c r="M83" s="17"/>
      <c r="N83" s="17"/>
      <c r="O83" s="17"/>
      <c r="P83" s="17"/>
      <c r="Q83" s="17"/>
      <c r="R83" s="17"/>
      <c r="S83" s="17"/>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row>
    <row r="84" spans="1:76" s="196" customFormat="1" ht="33" x14ac:dyDescent="0.25">
      <c r="A84" s="17"/>
      <c r="B84" s="197">
        <v>75</v>
      </c>
      <c r="C84" s="178" t="s">
        <v>535</v>
      </c>
      <c r="D84" s="213">
        <v>230</v>
      </c>
      <c r="E84" s="198">
        <f t="shared" si="5"/>
        <v>1815099.0614999998</v>
      </c>
      <c r="F84" s="199"/>
      <c r="G84" s="17"/>
      <c r="H84" s="17"/>
      <c r="I84" s="17"/>
      <c r="J84" s="17"/>
      <c r="K84" s="17"/>
      <c r="L84" s="17"/>
      <c r="M84" s="17"/>
      <c r="N84" s="17"/>
      <c r="O84" s="17"/>
      <c r="P84" s="17"/>
      <c r="Q84" s="17"/>
      <c r="R84" s="17"/>
      <c r="S84" s="17"/>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row>
    <row r="85" spans="1:76" s="196" customFormat="1" ht="33" x14ac:dyDescent="0.25">
      <c r="A85" s="17"/>
      <c r="B85" s="197">
        <v>76</v>
      </c>
      <c r="C85" s="178" t="s">
        <v>672</v>
      </c>
      <c r="D85" s="213">
        <v>250</v>
      </c>
      <c r="E85" s="198">
        <f t="shared" si="5"/>
        <v>1972933.7625</v>
      </c>
      <c r="F85" s="199"/>
      <c r="G85" s="17"/>
      <c r="H85" s="17"/>
      <c r="I85" s="17"/>
      <c r="J85" s="17"/>
      <c r="K85" s="17"/>
      <c r="L85" s="17"/>
      <c r="M85" s="17"/>
      <c r="N85" s="17"/>
      <c r="O85" s="17"/>
      <c r="P85" s="17"/>
      <c r="Q85" s="17"/>
      <c r="R85" s="17"/>
      <c r="S85" s="17"/>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row>
    <row r="86" spans="1:76" s="196" customFormat="1" ht="33" x14ac:dyDescent="0.25">
      <c r="A86" s="17"/>
      <c r="B86" s="197">
        <v>77</v>
      </c>
      <c r="C86" s="178" t="s">
        <v>536</v>
      </c>
      <c r="D86" s="213">
        <v>194</v>
      </c>
      <c r="E86" s="198">
        <f t="shared" si="5"/>
        <v>1530996.5996999999</v>
      </c>
      <c r="F86" s="199"/>
      <c r="G86" s="17"/>
      <c r="H86" s="17"/>
      <c r="I86" s="17"/>
      <c r="J86" s="17"/>
      <c r="K86" s="17"/>
      <c r="L86" s="17"/>
      <c r="M86" s="17"/>
      <c r="N86" s="17"/>
      <c r="O86" s="17"/>
      <c r="P86" s="17"/>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row>
    <row r="87" spans="1:76" s="196" customFormat="1" ht="33" x14ac:dyDescent="0.25">
      <c r="A87" s="17"/>
      <c r="B87" s="197">
        <v>78</v>
      </c>
      <c r="C87" s="178" t="s">
        <v>537</v>
      </c>
      <c r="D87" s="213">
        <v>303</v>
      </c>
      <c r="E87" s="198">
        <f t="shared" si="5"/>
        <v>2391195.72015</v>
      </c>
      <c r="F87" s="199"/>
      <c r="G87" s="17"/>
      <c r="H87" s="17"/>
      <c r="I87" s="17"/>
      <c r="J87" s="17"/>
      <c r="K87" s="17"/>
      <c r="L87" s="17"/>
      <c r="M87" s="17"/>
      <c r="N87" s="17"/>
      <c r="O87" s="17"/>
      <c r="P87" s="17"/>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row>
    <row r="88" spans="1:76" s="196" customFormat="1" ht="33" x14ac:dyDescent="0.25">
      <c r="A88" s="17"/>
      <c r="B88" s="509">
        <v>79</v>
      </c>
      <c r="C88" s="510" t="s">
        <v>538</v>
      </c>
      <c r="D88" s="511">
        <v>179</v>
      </c>
      <c r="E88" s="512">
        <f>D88*4.5/1000*1753718.9+0.02</f>
        <v>1412620.5939499999</v>
      </c>
      <c r="F88" s="513"/>
      <c r="G88" s="17"/>
      <c r="H88" s="17"/>
      <c r="I88" s="17"/>
      <c r="J88" s="17"/>
      <c r="K88" s="17"/>
      <c r="L88" s="17"/>
      <c r="M88" s="17"/>
      <c r="N88" s="17"/>
      <c r="O88" s="17"/>
      <c r="P88" s="17"/>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row>
    <row r="89" spans="1:76" s="196" customFormat="1" ht="33" x14ac:dyDescent="0.25">
      <c r="A89" s="17"/>
      <c r="B89" s="197">
        <v>80</v>
      </c>
      <c r="C89" s="178" t="s">
        <v>539</v>
      </c>
      <c r="D89" s="213">
        <v>213</v>
      </c>
      <c r="E89" s="198">
        <f t="shared" si="5"/>
        <v>1680939.56565</v>
      </c>
      <c r="F89" s="199"/>
      <c r="G89" s="17"/>
      <c r="H89" s="17"/>
      <c r="I89" s="17"/>
      <c r="J89" s="17"/>
      <c r="K89" s="17"/>
      <c r="L89" s="17"/>
      <c r="M89" s="17"/>
      <c r="N89" s="17"/>
      <c r="O89" s="17"/>
      <c r="P89" s="17"/>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row>
    <row r="90" spans="1:76" s="196" customFormat="1" ht="33" x14ac:dyDescent="0.25">
      <c r="A90" s="17"/>
      <c r="B90" s="197">
        <v>81</v>
      </c>
      <c r="C90" s="178" t="s">
        <v>540</v>
      </c>
      <c r="D90" s="213">
        <v>502</v>
      </c>
      <c r="E90" s="198">
        <f t="shared" si="5"/>
        <v>3961650.9950999995</v>
      </c>
      <c r="F90" s="199"/>
      <c r="G90" s="17"/>
      <c r="H90" s="17"/>
      <c r="I90" s="17"/>
      <c r="J90" s="17"/>
      <c r="K90" s="17"/>
      <c r="L90" s="17"/>
      <c r="M90" s="17"/>
      <c r="N90" s="17"/>
      <c r="O90" s="17"/>
      <c r="P90" s="17"/>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row>
    <row r="91" spans="1:76" s="196" customFormat="1" ht="33" x14ac:dyDescent="0.25">
      <c r="A91" s="17"/>
      <c r="B91" s="197">
        <v>82</v>
      </c>
      <c r="C91" s="178" t="s">
        <v>541</v>
      </c>
      <c r="D91" s="213">
        <v>176</v>
      </c>
      <c r="E91" s="198">
        <f t="shared" si="5"/>
        <v>1388945.3688000001</v>
      </c>
      <c r="F91" s="199"/>
      <c r="G91" s="17"/>
      <c r="H91" s="17"/>
      <c r="I91" s="17"/>
      <c r="J91" s="17"/>
      <c r="K91" s="17"/>
      <c r="L91" s="17"/>
      <c r="M91" s="17"/>
      <c r="N91" s="17"/>
      <c r="O91" s="17"/>
      <c r="P91" s="17"/>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row>
    <row r="92" spans="1:76" s="196" customFormat="1" ht="33" customHeight="1" x14ac:dyDescent="0.25">
      <c r="A92" s="17"/>
      <c r="B92" s="794">
        <v>83</v>
      </c>
      <c r="C92" s="792" t="s">
        <v>726</v>
      </c>
      <c r="D92" s="792">
        <v>1103</v>
      </c>
      <c r="E92" s="796">
        <f t="shared" si="5"/>
        <v>8704583.7601499986</v>
      </c>
      <c r="F92" s="794"/>
      <c r="G92" s="86"/>
      <c r="H92" s="17">
        <v>8704583.7601500005</v>
      </c>
      <c r="I92" s="17"/>
      <c r="J92" s="17"/>
      <c r="K92" s="17"/>
      <c r="L92" s="17"/>
      <c r="M92" s="17"/>
      <c r="N92" s="17"/>
      <c r="O92" s="17"/>
      <c r="P92" s="17"/>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row>
    <row r="93" spans="1:76" s="196" customFormat="1" ht="33" customHeight="1" x14ac:dyDescent="0.25">
      <c r="A93" s="17"/>
      <c r="B93" s="795"/>
      <c r="C93" s="793"/>
      <c r="D93" s="793"/>
      <c r="E93" s="797"/>
      <c r="F93" s="795"/>
      <c r="G93" s="17"/>
      <c r="H93" s="17">
        <v>1103</v>
      </c>
      <c r="I93" s="17"/>
      <c r="J93" s="17"/>
      <c r="K93" s="17"/>
      <c r="L93" s="17"/>
      <c r="M93" s="17"/>
      <c r="N93" s="17"/>
      <c r="O93" s="17"/>
      <c r="P93" s="17"/>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row>
    <row r="94" spans="1:76" s="196" customFormat="1" ht="33" x14ac:dyDescent="0.25">
      <c r="A94" s="17"/>
      <c r="B94" s="197">
        <v>85</v>
      </c>
      <c r="C94" s="178" t="s">
        <v>542</v>
      </c>
      <c r="D94" s="213">
        <v>474</v>
      </c>
      <c r="E94" s="198">
        <f t="shared" si="5"/>
        <v>3740682.4136999999</v>
      </c>
      <c r="F94" s="199"/>
      <c r="G94" s="17"/>
      <c r="H94" s="17"/>
      <c r="I94" s="17"/>
      <c r="J94" s="17"/>
      <c r="K94" s="17"/>
      <c r="L94" s="17"/>
      <c r="M94" s="17"/>
      <c r="N94" s="17"/>
      <c r="O94" s="17"/>
      <c r="P94" s="17"/>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row>
    <row r="95" spans="1:76" s="196" customFormat="1" ht="33" x14ac:dyDescent="0.25">
      <c r="A95" s="17"/>
      <c r="B95" s="197">
        <v>86</v>
      </c>
      <c r="C95" s="178" t="s">
        <v>543</v>
      </c>
      <c r="D95" s="213">
        <v>218</v>
      </c>
      <c r="E95" s="198">
        <f t="shared" si="5"/>
        <v>1720398.2408999999</v>
      </c>
      <c r="F95" s="199"/>
      <c r="G95" s="17"/>
      <c r="H95" s="17"/>
      <c r="I95" s="17"/>
      <c r="J95" s="17"/>
      <c r="K95" s="17"/>
      <c r="L95" s="17"/>
      <c r="M95" s="17"/>
      <c r="N95" s="17"/>
      <c r="O95" s="17"/>
      <c r="P95" s="17"/>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row>
    <row r="96" spans="1:76" s="196" customFormat="1" ht="33" x14ac:dyDescent="0.25">
      <c r="A96" s="17"/>
      <c r="B96" s="509">
        <v>87</v>
      </c>
      <c r="C96" s="510" t="s">
        <v>544</v>
      </c>
      <c r="D96" s="511">
        <v>696</v>
      </c>
      <c r="E96" s="512">
        <f>D96*4.5/1000*1753718.9+0.02</f>
        <v>5492647.6147999996</v>
      </c>
      <c r="F96" s="513"/>
      <c r="G96" s="17"/>
      <c r="H96" s="17"/>
      <c r="I96" s="17"/>
      <c r="J96" s="17"/>
      <c r="K96" s="17"/>
      <c r="L96" s="17"/>
      <c r="M96" s="17"/>
      <c r="N96" s="17"/>
      <c r="O96" s="17"/>
      <c r="P96" s="17"/>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row>
    <row r="97" spans="1:76" s="196" customFormat="1" ht="33" x14ac:dyDescent="0.25">
      <c r="A97" s="17"/>
      <c r="B97" s="197">
        <v>88</v>
      </c>
      <c r="C97" s="178" t="s">
        <v>545</v>
      </c>
      <c r="D97" s="213">
        <v>731</v>
      </c>
      <c r="E97" s="198">
        <f t="shared" si="5"/>
        <v>5768858.3215499995</v>
      </c>
      <c r="F97" s="199"/>
      <c r="G97" s="17"/>
      <c r="H97" s="17"/>
      <c r="I97" s="17"/>
      <c r="J97" s="17"/>
      <c r="K97" s="17"/>
      <c r="L97" s="17"/>
      <c r="M97" s="17"/>
      <c r="N97" s="17"/>
      <c r="O97" s="17"/>
      <c r="P97" s="17"/>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row>
    <row r="98" spans="1:76" s="196" customFormat="1" ht="33" x14ac:dyDescent="0.25">
      <c r="A98" s="17"/>
      <c r="B98" s="197">
        <v>89</v>
      </c>
      <c r="C98" s="178" t="s">
        <v>546</v>
      </c>
      <c r="D98" s="213">
        <v>759</v>
      </c>
      <c r="E98" s="200">
        <f t="shared" si="5"/>
        <v>5989826.90295</v>
      </c>
      <c r="F98" s="199"/>
      <c r="G98" s="17"/>
      <c r="H98" s="17"/>
      <c r="I98" s="17"/>
      <c r="J98" s="17"/>
      <c r="K98" s="17"/>
      <c r="L98" s="17"/>
      <c r="M98" s="17"/>
      <c r="N98" s="17"/>
      <c r="O98" s="17"/>
      <c r="P98" s="17"/>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row>
    <row r="99" spans="1:76" s="196" customFormat="1" ht="33" x14ac:dyDescent="0.25">
      <c r="A99" s="17"/>
      <c r="B99" s="197">
        <v>90</v>
      </c>
      <c r="C99" s="178" t="s">
        <v>547</v>
      </c>
      <c r="D99" s="213">
        <v>1500</v>
      </c>
      <c r="E99" s="200">
        <f t="shared" si="5"/>
        <v>11837602.574999999</v>
      </c>
      <c r="F99" s="199"/>
      <c r="G99" s="17"/>
      <c r="H99" s="17"/>
      <c r="I99" s="17"/>
      <c r="J99" s="17"/>
      <c r="K99" s="17"/>
      <c r="L99" s="17"/>
      <c r="M99" s="17"/>
      <c r="N99" s="17"/>
      <c r="O99" s="17"/>
      <c r="P99" s="17"/>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row>
    <row r="100" spans="1:76" s="196" customFormat="1" ht="33" x14ac:dyDescent="0.25">
      <c r="A100" s="17"/>
      <c r="B100" s="197">
        <v>91</v>
      </c>
      <c r="C100" s="178" t="s">
        <v>548</v>
      </c>
      <c r="D100" s="213">
        <v>1200</v>
      </c>
      <c r="E100" s="200">
        <f t="shared" si="5"/>
        <v>9470082.0600000005</v>
      </c>
      <c r="F100" s="199"/>
      <c r="G100" s="17"/>
      <c r="H100" s="17"/>
      <c r="I100" s="17"/>
      <c r="J100" s="17"/>
      <c r="K100" s="17"/>
      <c r="L100" s="17"/>
      <c r="M100" s="17"/>
      <c r="N100" s="17"/>
      <c r="O100" s="17"/>
      <c r="P100" s="17"/>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row>
    <row r="101" spans="1:76" s="196" customFormat="1" ht="33" x14ac:dyDescent="0.25">
      <c r="A101" s="17"/>
      <c r="B101" s="197">
        <v>92</v>
      </c>
      <c r="C101" s="178" t="s">
        <v>549</v>
      </c>
      <c r="D101" s="213">
        <v>1400</v>
      </c>
      <c r="E101" s="200">
        <f t="shared" si="5"/>
        <v>11048429.069999998</v>
      </c>
      <c r="F101" s="199"/>
      <c r="G101" s="17"/>
      <c r="H101" s="17"/>
      <c r="I101" s="17"/>
      <c r="J101" s="17"/>
      <c r="K101" s="17"/>
      <c r="L101" s="17"/>
      <c r="M101" s="17"/>
      <c r="N101" s="17"/>
      <c r="O101" s="17"/>
      <c r="P101" s="17"/>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row>
    <row r="102" spans="1:76" s="196" customFormat="1" ht="33" x14ac:dyDescent="0.25">
      <c r="A102" s="17"/>
      <c r="B102" s="509">
        <v>93</v>
      </c>
      <c r="C102" s="510" t="s">
        <v>550</v>
      </c>
      <c r="D102" s="511">
        <v>811</v>
      </c>
      <c r="E102" s="248">
        <f>D102*4.5/1000*1753718.9-0.02</f>
        <v>6400197.1055500004</v>
      </c>
      <c r="F102" s="199"/>
      <c r="G102" s="17"/>
      <c r="H102" s="17"/>
      <c r="I102" s="17"/>
      <c r="J102" s="17"/>
      <c r="K102" s="17"/>
      <c r="L102" s="17"/>
      <c r="M102" s="17"/>
      <c r="N102" s="17"/>
      <c r="O102" s="17"/>
      <c r="P102" s="17"/>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row>
    <row r="103" spans="1:76" s="196" customFormat="1" ht="33" x14ac:dyDescent="0.25">
      <c r="A103" s="17"/>
      <c r="B103" s="197">
        <v>94</v>
      </c>
      <c r="C103" s="178" t="s">
        <v>551</v>
      </c>
      <c r="D103" s="213">
        <v>1100</v>
      </c>
      <c r="E103" s="200">
        <f t="shared" si="5"/>
        <v>8680908.5549999997</v>
      </c>
      <c r="F103" s="199"/>
      <c r="G103" s="17"/>
      <c r="H103" s="17"/>
      <c r="I103" s="17"/>
      <c r="J103" s="17"/>
      <c r="K103" s="17"/>
      <c r="L103" s="17"/>
      <c r="M103" s="17"/>
      <c r="N103" s="17"/>
      <c r="O103" s="17"/>
      <c r="P103" s="17"/>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row>
    <row r="104" spans="1:76" s="196" customFormat="1" ht="33" x14ac:dyDescent="0.25">
      <c r="A104" s="17"/>
      <c r="B104" s="197">
        <v>95</v>
      </c>
      <c r="C104" s="178" t="s">
        <v>673</v>
      </c>
      <c r="D104" s="213">
        <v>1500</v>
      </c>
      <c r="E104" s="200">
        <f>D104*4.5/1000*1753718.9*1.5</f>
        <v>17756403.862499997</v>
      </c>
      <c r="F104" s="199"/>
      <c r="G104" s="17"/>
      <c r="H104" s="17"/>
      <c r="I104" s="17"/>
      <c r="J104" s="17"/>
      <c r="K104" s="17"/>
      <c r="L104" s="17"/>
      <c r="M104" s="17"/>
      <c r="N104" s="17"/>
      <c r="O104" s="17"/>
      <c r="P104" s="17"/>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row>
    <row r="105" spans="1:76" s="196" customFormat="1" ht="33" x14ac:dyDescent="0.25">
      <c r="A105" s="17"/>
      <c r="B105" s="197">
        <v>96</v>
      </c>
      <c r="C105" s="178" t="s">
        <v>552</v>
      </c>
      <c r="D105" s="213">
        <v>1400</v>
      </c>
      <c r="E105" s="200">
        <f>D105*4.5/1000*1753718.9*1.5</f>
        <v>16572643.604999997</v>
      </c>
      <c r="F105" s="199"/>
      <c r="G105" s="17"/>
      <c r="H105" s="17"/>
      <c r="I105" s="17"/>
      <c r="J105" s="17"/>
      <c r="K105" s="17"/>
      <c r="L105" s="17"/>
      <c r="M105" s="17"/>
      <c r="N105" s="17"/>
      <c r="O105" s="17"/>
      <c r="P105" s="17"/>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row>
    <row r="106" spans="1:76" s="196" customFormat="1" ht="33" x14ac:dyDescent="0.25">
      <c r="A106" s="17"/>
      <c r="B106" s="197">
        <v>97</v>
      </c>
      <c r="C106" s="178" t="s">
        <v>553</v>
      </c>
      <c r="D106" s="213">
        <v>1500</v>
      </c>
      <c r="E106" s="200">
        <f>D106*4.5/1000*1753718.9*1</f>
        <v>11837602.574999999</v>
      </c>
      <c r="F106" s="199"/>
      <c r="G106" s="17"/>
      <c r="H106" s="17"/>
      <c r="I106" s="17"/>
      <c r="J106" s="17"/>
      <c r="K106" s="17"/>
      <c r="L106" s="17"/>
      <c r="M106" s="17"/>
      <c r="N106" s="17"/>
      <c r="O106" s="17"/>
      <c r="P106" s="17"/>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row>
    <row r="107" spans="1:76" s="196" customFormat="1" ht="33" x14ac:dyDescent="0.25">
      <c r="A107" s="17"/>
      <c r="B107" s="197">
        <v>98</v>
      </c>
      <c r="C107" s="178" t="s">
        <v>554</v>
      </c>
      <c r="D107" s="213">
        <v>1100</v>
      </c>
      <c r="E107" s="200">
        <f>D107*4.5/1000*1753718.9*1</f>
        <v>8680908.5549999997</v>
      </c>
      <c r="F107" s="199"/>
      <c r="G107" s="17"/>
      <c r="H107" s="17"/>
      <c r="I107" s="17"/>
      <c r="J107" s="17"/>
      <c r="K107" s="17"/>
      <c r="L107" s="17"/>
      <c r="M107" s="17"/>
      <c r="N107" s="17"/>
      <c r="O107" s="17"/>
      <c r="P107" s="17"/>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row>
    <row r="108" spans="1:76" s="196" customFormat="1" ht="33" x14ac:dyDescent="0.25">
      <c r="A108" s="17"/>
      <c r="B108" s="197">
        <v>99</v>
      </c>
      <c r="C108" s="178" t="s">
        <v>555</v>
      </c>
      <c r="D108" s="213">
        <v>531</v>
      </c>
      <c r="E108" s="200">
        <f>D108*4.5/1000*1753718.9*1.5</f>
        <v>6285766.9673250001</v>
      </c>
      <c r="F108" s="199"/>
      <c r="G108" s="17"/>
      <c r="H108" s="17"/>
      <c r="I108" s="17"/>
      <c r="J108" s="17"/>
      <c r="K108" s="17"/>
      <c r="L108" s="17"/>
      <c r="M108" s="17"/>
      <c r="N108" s="17"/>
      <c r="O108" s="17"/>
      <c r="P108" s="17"/>
      <c r="Q108" s="17"/>
      <c r="R108" s="17"/>
      <c r="S108" s="17"/>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row>
    <row r="109" spans="1:76" s="196" customFormat="1" ht="33" x14ac:dyDescent="0.25">
      <c r="A109" s="17"/>
      <c r="B109" s="197">
        <v>100</v>
      </c>
      <c r="C109" s="178" t="s">
        <v>556</v>
      </c>
      <c r="D109" s="213">
        <v>1400</v>
      </c>
      <c r="E109" s="200">
        <f>D109*4.5/1000*1753718.9*1.5</f>
        <v>16572643.604999997</v>
      </c>
      <c r="F109" s="199"/>
      <c r="G109" s="17"/>
      <c r="H109" s="17"/>
      <c r="I109" s="17"/>
      <c r="J109" s="17"/>
      <c r="K109" s="17"/>
      <c r="L109" s="17"/>
      <c r="M109" s="17"/>
      <c r="N109" s="17"/>
      <c r="O109" s="17"/>
      <c r="P109" s="17"/>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row>
    <row r="110" spans="1:76" s="196" customFormat="1" ht="33" x14ac:dyDescent="0.25">
      <c r="A110" s="17"/>
      <c r="B110" s="197">
        <v>101</v>
      </c>
      <c r="C110" s="178" t="s">
        <v>557</v>
      </c>
      <c r="D110" s="213">
        <v>358</v>
      </c>
      <c r="E110" s="200">
        <f t="shared" ref="E110:E116" si="6">D110*4.5/1000*1753718.9*1</f>
        <v>2825241.1478999997</v>
      </c>
      <c r="F110" s="199"/>
      <c r="G110" s="17"/>
      <c r="H110" s="17"/>
      <c r="I110" s="17"/>
      <c r="J110" s="17"/>
      <c r="K110" s="17"/>
      <c r="L110" s="17"/>
      <c r="M110" s="17"/>
      <c r="N110" s="17"/>
      <c r="O110" s="17"/>
      <c r="P110" s="17"/>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row>
    <row r="111" spans="1:76" s="196" customFormat="1" ht="33" x14ac:dyDescent="0.25">
      <c r="A111" s="17"/>
      <c r="B111" s="197">
        <v>102</v>
      </c>
      <c r="C111" s="178" t="s">
        <v>558</v>
      </c>
      <c r="D111" s="213">
        <v>366</v>
      </c>
      <c r="E111" s="200">
        <f t="shared" si="6"/>
        <v>2888375.0282999999</v>
      </c>
      <c r="F111" s="199"/>
      <c r="G111" s="17"/>
      <c r="H111" s="17"/>
      <c r="I111" s="17"/>
      <c r="J111" s="17"/>
      <c r="K111" s="17"/>
      <c r="L111" s="17"/>
      <c r="M111" s="17"/>
      <c r="N111" s="17"/>
      <c r="O111" s="17"/>
      <c r="P111" s="17"/>
      <c r="Q111" s="17"/>
      <c r="R111" s="17"/>
      <c r="S111" s="17"/>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row>
    <row r="112" spans="1:76" s="196" customFormat="1" ht="33" x14ac:dyDescent="0.25">
      <c r="A112" s="17"/>
      <c r="B112" s="197">
        <v>103</v>
      </c>
      <c r="C112" s="178" t="s">
        <v>559</v>
      </c>
      <c r="D112" s="213">
        <v>370</v>
      </c>
      <c r="E112" s="200">
        <f t="shared" si="6"/>
        <v>2919941.9685</v>
      </c>
      <c r="F112" s="199"/>
      <c r="G112" s="17"/>
      <c r="H112" s="17"/>
      <c r="I112" s="17"/>
      <c r="J112" s="17"/>
      <c r="K112" s="17"/>
      <c r="L112" s="17"/>
      <c r="M112" s="17"/>
      <c r="N112" s="17"/>
      <c r="O112" s="17"/>
      <c r="P112" s="17"/>
      <c r="Q112" s="17"/>
      <c r="R112" s="17"/>
      <c r="S112" s="17"/>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row>
    <row r="113" spans="1:76" s="196" customFormat="1" ht="33" x14ac:dyDescent="0.25">
      <c r="A113" s="17"/>
      <c r="B113" s="197">
        <v>104</v>
      </c>
      <c r="C113" s="178" t="s">
        <v>560</v>
      </c>
      <c r="D113" s="213">
        <v>461</v>
      </c>
      <c r="E113" s="200">
        <f t="shared" si="6"/>
        <v>3638089.8580499999</v>
      </c>
      <c r="F113" s="199"/>
      <c r="G113" s="17"/>
      <c r="H113" s="17"/>
      <c r="I113" s="17"/>
      <c r="J113" s="17"/>
      <c r="K113" s="17"/>
      <c r="L113" s="17"/>
      <c r="M113" s="17"/>
      <c r="N113" s="17"/>
      <c r="O113" s="17"/>
      <c r="P113" s="17"/>
      <c r="Q113" s="17"/>
      <c r="R113" s="17"/>
      <c r="S113" s="17"/>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row>
    <row r="114" spans="1:76" s="196" customFormat="1" ht="33" x14ac:dyDescent="0.25">
      <c r="A114" s="17"/>
      <c r="B114" s="509">
        <v>105</v>
      </c>
      <c r="C114" s="510" t="s">
        <v>561</v>
      </c>
      <c r="D114" s="511">
        <v>288</v>
      </c>
      <c r="E114" s="248">
        <f>D114*4.5/1000*1753718.9*1+0.02</f>
        <v>2272819.7143999999</v>
      </c>
      <c r="F114" s="513"/>
      <c r="G114" s="17"/>
      <c r="H114" s="17"/>
      <c r="I114" s="17"/>
      <c r="J114" s="17"/>
      <c r="K114" s="17"/>
      <c r="L114" s="17"/>
      <c r="M114" s="17"/>
      <c r="N114" s="17"/>
      <c r="O114" s="17"/>
      <c r="P114" s="17"/>
      <c r="Q114" s="17"/>
      <c r="R114" s="17"/>
      <c r="S114" s="17"/>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row>
    <row r="115" spans="1:76" s="196" customFormat="1" ht="33" x14ac:dyDescent="0.25">
      <c r="A115" s="17"/>
      <c r="B115" s="197">
        <v>106</v>
      </c>
      <c r="C115" s="178" t="s">
        <v>562</v>
      </c>
      <c r="D115" s="213">
        <v>343</v>
      </c>
      <c r="E115" s="200">
        <f t="shared" si="6"/>
        <v>2706865.1221500002</v>
      </c>
      <c r="F115" s="199"/>
      <c r="G115" s="17"/>
      <c r="H115" s="17"/>
      <c r="I115" s="17"/>
      <c r="J115" s="17"/>
      <c r="K115" s="17"/>
      <c r="L115" s="17"/>
      <c r="M115" s="17"/>
      <c r="N115" s="17"/>
      <c r="O115" s="17"/>
      <c r="P115" s="17"/>
      <c r="Q115" s="17"/>
      <c r="R115" s="17"/>
      <c r="S115" s="17"/>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row>
    <row r="116" spans="1:76" s="196" customFormat="1" ht="33" x14ac:dyDescent="0.25">
      <c r="A116" s="17"/>
      <c r="B116" s="197">
        <v>107</v>
      </c>
      <c r="C116" s="178" t="s">
        <v>563</v>
      </c>
      <c r="D116" s="213">
        <v>830</v>
      </c>
      <c r="E116" s="200">
        <f t="shared" si="6"/>
        <v>6550140.0914999992</v>
      </c>
      <c r="F116" s="199"/>
      <c r="G116" s="17"/>
      <c r="H116" s="17"/>
      <c r="I116" s="17"/>
      <c r="J116" s="17"/>
      <c r="K116" s="17"/>
      <c r="L116" s="17"/>
      <c r="M116" s="17"/>
      <c r="N116" s="17"/>
      <c r="O116" s="17"/>
      <c r="P116" s="17"/>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row>
    <row r="117" spans="1:76" s="196" customFormat="1" ht="33" x14ac:dyDescent="0.25">
      <c r="A117" s="17"/>
      <c r="B117" s="509">
        <v>108</v>
      </c>
      <c r="C117" s="510" t="s">
        <v>564</v>
      </c>
      <c r="D117" s="511">
        <v>828</v>
      </c>
      <c r="E117" s="248">
        <f>D117*4.5/1000*1753718.9+0.02</f>
        <v>6534356.6413999991</v>
      </c>
      <c r="F117" s="513"/>
      <c r="G117" s="17"/>
      <c r="H117" s="17"/>
      <c r="I117" s="17"/>
      <c r="J117" s="17"/>
      <c r="K117" s="17"/>
      <c r="L117" s="17"/>
      <c r="M117" s="17"/>
      <c r="N117" s="17"/>
      <c r="O117" s="17"/>
      <c r="P117" s="17"/>
      <c r="Q117" s="17"/>
      <c r="R117" s="17"/>
      <c r="S117" s="17"/>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row>
    <row r="118" spans="1:76" s="196" customFormat="1" ht="33" x14ac:dyDescent="0.25">
      <c r="A118" s="17"/>
      <c r="B118" s="197">
        <v>109</v>
      </c>
      <c r="C118" s="178" t="s">
        <v>565</v>
      </c>
      <c r="D118" s="213">
        <v>1100</v>
      </c>
      <c r="E118" s="200">
        <f t="shared" ref="E118:E125" si="7">D118*4.5/1000*1753718.9</f>
        <v>8680908.5549999997</v>
      </c>
      <c r="F118" s="199"/>
      <c r="G118" s="17"/>
      <c r="H118" s="17"/>
      <c r="I118" s="17"/>
      <c r="J118" s="17"/>
      <c r="K118" s="17"/>
      <c r="L118" s="17"/>
      <c r="M118" s="17"/>
      <c r="N118" s="17"/>
      <c r="O118" s="17"/>
      <c r="P118" s="17"/>
      <c r="Q118" s="17"/>
      <c r="R118" s="17"/>
      <c r="S118" s="17"/>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row>
    <row r="119" spans="1:76" s="196" customFormat="1" ht="33" x14ac:dyDescent="0.25">
      <c r="A119" s="17"/>
      <c r="B119" s="197">
        <v>110</v>
      </c>
      <c r="C119" s="178" t="s">
        <v>566</v>
      </c>
      <c r="D119" s="213">
        <v>826</v>
      </c>
      <c r="E119" s="200">
        <f t="shared" si="7"/>
        <v>6518573.1513</v>
      </c>
      <c r="F119" s="199"/>
      <c r="G119" s="17"/>
      <c r="H119" s="17"/>
      <c r="I119" s="17"/>
      <c r="J119" s="17"/>
      <c r="K119" s="17"/>
      <c r="L119" s="17"/>
      <c r="M119" s="17"/>
      <c r="N119" s="17"/>
      <c r="O119" s="17"/>
      <c r="P119" s="17"/>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row>
    <row r="120" spans="1:76" s="196" customFormat="1" ht="33" x14ac:dyDescent="0.25">
      <c r="A120" s="17"/>
      <c r="B120" s="509">
        <v>111</v>
      </c>
      <c r="C120" s="510" t="s">
        <v>567</v>
      </c>
      <c r="D120" s="511">
        <v>655</v>
      </c>
      <c r="E120" s="248">
        <f>D120*4.5/1000*1753718.9-0.02</f>
        <v>5169086.4377499996</v>
      </c>
      <c r="F120" s="513"/>
      <c r="G120" s="17"/>
      <c r="H120" s="17"/>
      <c r="I120" s="17"/>
      <c r="J120" s="17"/>
      <c r="K120" s="17"/>
      <c r="L120" s="17"/>
      <c r="M120" s="17"/>
      <c r="N120" s="17"/>
      <c r="O120" s="17"/>
      <c r="P120" s="17"/>
      <c r="Q120" s="17"/>
      <c r="R120" s="17"/>
      <c r="S120" s="17"/>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row>
    <row r="121" spans="1:76" s="196" customFormat="1" ht="33" x14ac:dyDescent="0.25">
      <c r="A121" s="17"/>
      <c r="B121" s="197">
        <v>112</v>
      </c>
      <c r="C121" s="220" t="s">
        <v>684</v>
      </c>
      <c r="D121" s="221">
        <v>853</v>
      </c>
      <c r="E121" s="222">
        <f t="shared" si="7"/>
        <v>6731649.9976499993</v>
      </c>
      <c r="F121" s="199"/>
      <c r="G121" s="17"/>
      <c r="H121" s="17"/>
      <c r="I121" s="17"/>
      <c r="J121" s="17"/>
      <c r="K121" s="17"/>
      <c r="L121" s="17"/>
      <c r="M121" s="17"/>
      <c r="N121" s="17"/>
      <c r="O121" s="17"/>
      <c r="P121" s="17"/>
      <c r="Q121" s="17"/>
      <c r="R121" s="17"/>
      <c r="S121" s="17"/>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row>
    <row r="122" spans="1:76" s="196" customFormat="1" ht="33" x14ac:dyDescent="0.25">
      <c r="A122" s="17"/>
      <c r="B122" s="197">
        <v>113</v>
      </c>
      <c r="C122" s="178" t="s">
        <v>569</v>
      </c>
      <c r="D122" s="213">
        <v>325</v>
      </c>
      <c r="E122" s="200">
        <f t="shared" si="7"/>
        <v>2564813.8912499999</v>
      </c>
      <c r="F122" s="199"/>
      <c r="G122" s="17"/>
      <c r="H122" s="17"/>
      <c r="I122" s="17"/>
      <c r="J122" s="17"/>
      <c r="K122" s="17"/>
      <c r="L122" s="17"/>
      <c r="M122" s="17"/>
      <c r="N122" s="17"/>
      <c r="O122" s="17"/>
      <c r="P122" s="17"/>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row>
    <row r="123" spans="1:76" s="196" customFormat="1" ht="33" x14ac:dyDescent="0.25">
      <c r="A123" s="17"/>
      <c r="B123" s="197">
        <v>114</v>
      </c>
      <c r="C123" s="178" t="s">
        <v>611</v>
      </c>
      <c r="D123" s="213">
        <v>107</v>
      </c>
      <c r="E123" s="198">
        <f t="shared" si="7"/>
        <v>844415.65034999989</v>
      </c>
      <c r="F123" s="199"/>
      <c r="G123" s="17"/>
      <c r="H123" s="17"/>
      <c r="I123" s="17"/>
      <c r="J123" s="17"/>
      <c r="K123" s="17"/>
      <c r="L123" s="17"/>
      <c r="M123" s="17"/>
      <c r="N123" s="17"/>
      <c r="O123" s="17"/>
      <c r="P123" s="17"/>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row>
    <row r="124" spans="1:76" s="196" customFormat="1" ht="33" x14ac:dyDescent="0.25">
      <c r="A124" s="17"/>
      <c r="B124" s="509">
        <v>115</v>
      </c>
      <c r="C124" s="510" t="s">
        <v>570</v>
      </c>
      <c r="D124" s="511">
        <v>221</v>
      </c>
      <c r="E124" s="248">
        <f>D124*4.5/1000*1753718.9</f>
        <v>1744073.4460499999</v>
      </c>
      <c r="F124" s="513"/>
      <c r="G124" s="17"/>
      <c r="H124" s="17"/>
      <c r="I124" s="17"/>
      <c r="J124" s="17"/>
      <c r="K124" s="17"/>
      <c r="L124" s="17"/>
      <c r="M124" s="17"/>
      <c r="N124" s="17"/>
      <c r="O124" s="17"/>
      <c r="P124" s="17"/>
      <c r="Q124" s="17"/>
      <c r="R124" s="17"/>
      <c r="S124" s="17"/>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row>
    <row r="125" spans="1:76" s="196" customFormat="1" ht="33" x14ac:dyDescent="0.25">
      <c r="A125" s="17"/>
      <c r="B125" s="197">
        <v>116</v>
      </c>
      <c r="C125" s="220" t="s">
        <v>571</v>
      </c>
      <c r="D125" s="221">
        <v>220</v>
      </c>
      <c r="E125" s="200">
        <f t="shared" si="7"/>
        <v>1736181.7109999999</v>
      </c>
      <c r="F125" s="199"/>
      <c r="G125" s="17"/>
      <c r="H125" s="17"/>
      <c r="I125" s="17"/>
      <c r="J125" s="17"/>
      <c r="K125" s="17"/>
      <c r="L125" s="17"/>
      <c r="M125" s="17"/>
      <c r="N125" s="17"/>
      <c r="O125" s="17"/>
      <c r="P125" s="17"/>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row>
    <row r="126" spans="1:76" s="196" customFormat="1" ht="33" x14ac:dyDescent="0.25">
      <c r="A126" s="17"/>
      <c r="B126" s="509">
        <v>117</v>
      </c>
      <c r="C126" s="510" t="s">
        <v>572</v>
      </c>
      <c r="D126" s="511">
        <v>120</v>
      </c>
      <c r="E126" s="248">
        <f>D126*4.5/1000*1753718.9-0.01</f>
        <v>947008.196</v>
      </c>
      <c r="F126" s="513"/>
      <c r="G126" s="17"/>
      <c r="H126" s="17"/>
      <c r="I126" s="17"/>
      <c r="J126" s="17"/>
      <c r="K126" s="17"/>
      <c r="L126" s="17"/>
      <c r="M126" s="17"/>
      <c r="N126" s="17"/>
      <c r="O126" s="17"/>
      <c r="P126" s="17"/>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row>
    <row r="127" spans="1:76" s="196" customFormat="1" ht="33" x14ac:dyDescent="0.25">
      <c r="A127" s="17"/>
      <c r="B127" s="197">
        <v>118</v>
      </c>
      <c r="C127" s="178" t="s">
        <v>574</v>
      </c>
      <c r="D127" s="213">
        <v>475</v>
      </c>
      <c r="E127" s="200">
        <f>D127*4.5/1000*1753718.9</f>
        <v>3748574.1487500002</v>
      </c>
      <c r="F127" s="199"/>
      <c r="G127" s="17"/>
      <c r="H127" s="17"/>
      <c r="I127" s="17"/>
      <c r="J127" s="17"/>
      <c r="K127" s="17"/>
      <c r="L127" s="17"/>
      <c r="M127" s="17"/>
      <c r="N127" s="17"/>
      <c r="O127" s="17"/>
      <c r="P127" s="17"/>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row>
    <row r="128" spans="1:76" s="196" customFormat="1" ht="33" x14ac:dyDescent="0.25">
      <c r="A128" s="17"/>
      <c r="B128" s="197">
        <v>119</v>
      </c>
      <c r="C128" s="178" t="s">
        <v>575</v>
      </c>
      <c r="D128" s="213">
        <v>289</v>
      </c>
      <c r="E128" s="200">
        <f>D128*4.5/1000*1753718.9</f>
        <v>2280711.4294499997</v>
      </c>
      <c r="F128" s="199"/>
      <c r="G128" s="17"/>
      <c r="H128" s="17"/>
      <c r="I128" s="17"/>
      <c r="J128" s="17"/>
      <c r="K128" s="17"/>
      <c r="L128" s="17"/>
      <c r="M128" s="17"/>
      <c r="N128" s="17"/>
      <c r="O128" s="17"/>
      <c r="P128" s="17"/>
      <c r="Q128" s="17"/>
      <c r="R128" s="17"/>
      <c r="S128" s="17"/>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row>
    <row r="129" spans="1:76" s="196" customFormat="1" ht="33" x14ac:dyDescent="0.25">
      <c r="A129" s="17"/>
      <c r="B129" s="197">
        <v>120</v>
      </c>
      <c r="C129" s="178" t="s">
        <v>576</v>
      </c>
      <c r="D129" s="213">
        <v>253</v>
      </c>
      <c r="E129" s="200">
        <f>D129*4.5/1000*1753718.9</f>
        <v>1996608.96765</v>
      </c>
      <c r="F129" s="199"/>
      <c r="G129" s="17"/>
      <c r="H129" s="17"/>
      <c r="I129" s="17"/>
      <c r="J129" s="17"/>
      <c r="K129" s="17"/>
      <c r="L129" s="17"/>
      <c r="M129" s="17"/>
      <c r="N129" s="17"/>
      <c r="O129" s="17"/>
      <c r="P129" s="17"/>
      <c r="Q129" s="17"/>
      <c r="R129" s="17"/>
      <c r="S129" s="17"/>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row>
    <row r="130" spans="1:76" s="196" customFormat="1" ht="33" x14ac:dyDescent="0.25">
      <c r="A130" s="17"/>
      <c r="B130" s="197">
        <v>121</v>
      </c>
      <c r="C130" s="178" t="s">
        <v>577</v>
      </c>
      <c r="D130" s="213">
        <v>206</v>
      </c>
      <c r="E130" s="200">
        <f>D130*4.5/1000*1753718.9</f>
        <v>1625697.4202999999</v>
      </c>
      <c r="F130" s="199"/>
      <c r="G130" s="17"/>
      <c r="H130" s="17"/>
      <c r="I130" s="17"/>
      <c r="J130" s="17"/>
      <c r="K130" s="17"/>
      <c r="L130" s="17"/>
      <c r="M130" s="17"/>
      <c r="N130" s="17"/>
      <c r="O130" s="17"/>
      <c r="P130" s="17"/>
      <c r="Q130" s="17"/>
      <c r="R130" s="17"/>
      <c r="S130" s="17"/>
      <c r="T130" s="17"/>
      <c r="U130" s="17"/>
      <c r="V130" s="17"/>
      <c r="W130" s="17"/>
      <c r="X130" s="17"/>
      <c r="Y130" s="17"/>
      <c r="Z130" s="17"/>
      <c r="AA130" s="17"/>
      <c r="AB130" s="17"/>
      <c r="AC130" s="17"/>
      <c r="AD130" s="17"/>
      <c r="AE130" s="17"/>
      <c r="AF130" s="17"/>
      <c r="AG130" s="17"/>
      <c r="AH130" s="17"/>
      <c r="AI130" s="17"/>
      <c r="AJ130" s="17"/>
      <c r="AK130" s="17"/>
      <c r="AL130" s="17"/>
      <c r="AM130" s="17"/>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row>
    <row r="131" spans="1:76" s="196" customFormat="1" ht="33" x14ac:dyDescent="0.25">
      <c r="A131" s="17"/>
      <c r="B131" s="509">
        <v>122</v>
      </c>
      <c r="C131" s="510" t="s">
        <v>578</v>
      </c>
      <c r="D131" s="511">
        <v>96</v>
      </c>
      <c r="E131" s="248">
        <f>D131*4.5/1000*1753718-0.02</f>
        <v>757606.15599999996</v>
      </c>
      <c r="F131" s="513"/>
      <c r="G131" s="17"/>
      <c r="H131" s="17"/>
      <c r="I131" s="17"/>
      <c r="J131" s="17"/>
      <c r="K131" s="17"/>
      <c r="L131" s="17"/>
      <c r="M131" s="17"/>
      <c r="N131" s="17"/>
      <c r="O131" s="17"/>
      <c r="P131" s="17"/>
      <c r="Q131" s="17"/>
      <c r="R131" s="17"/>
      <c r="S131" s="17"/>
      <c r="T131" s="17"/>
      <c r="U131" s="17"/>
      <c r="V131" s="17"/>
      <c r="W131" s="17"/>
      <c r="X131" s="17"/>
      <c r="Y131" s="17"/>
      <c r="Z131" s="17"/>
      <c r="AA131" s="17"/>
      <c r="AB131" s="17"/>
      <c r="AC131" s="17"/>
      <c r="AD131" s="17"/>
      <c r="AE131" s="17"/>
      <c r="AF131" s="17"/>
      <c r="AG131" s="17"/>
      <c r="AH131" s="17"/>
      <c r="AI131" s="17"/>
      <c r="AJ131" s="17"/>
      <c r="AK131" s="17"/>
      <c r="AL131" s="17"/>
      <c r="AM131" s="17"/>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row>
    <row r="132" spans="1:76" s="196" customFormat="1" ht="33" x14ac:dyDescent="0.25">
      <c r="A132" s="17"/>
      <c r="B132" s="197">
        <v>123</v>
      </c>
      <c r="C132" s="178" t="s">
        <v>573</v>
      </c>
      <c r="D132" s="213">
        <v>1400</v>
      </c>
      <c r="E132" s="248">
        <f>D132*4.5/1000*1753718.9*1.5-322491.557</f>
        <v>16250152.047999997</v>
      </c>
      <c r="F132" s="199"/>
      <c r="G132" s="17"/>
      <c r="H132" s="17"/>
      <c r="I132" s="17"/>
      <c r="J132" s="17"/>
      <c r="K132" s="17"/>
      <c r="L132" s="17"/>
      <c r="M132" s="17"/>
      <c r="N132" s="17"/>
      <c r="O132" s="17"/>
      <c r="P132" s="17"/>
      <c r="Q132" s="17"/>
      <c r="R132" s="17"/>
      <c r="S132" s="17"/>
      <c r="T132" s="17"/>
      <c r="U132" s="17"/>
      <c r="V132" s="17"/>
      <c r="W132" s="17"/>
      <c r="X132" s="17"/>
      <c r="Y132" s="17"/>
      <c r="Z132" s="17"/>
      <c r="AA132" s="17"/>
      <c r="AB132" s="17"/>
      <c r="AC132" s="17"/>
      <c r="AD132" s="17"/>
      <c r="AE132" s="17"/>
      <c r="AF132" s="17"/>
      <c r="AG132" s="17"/>
      <c r="AH132" s="17"/>
      <c r="AI132" s="17"/>
      <c r="AJ132" s="17"/>
      <c r="AK132" s="17"/>
      <c r="AL132" s="17"/>
      <c r="AM132" s="17"/>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row>
    <row r="133" spans="1:76" s="207" customFormat="1" ht="16.5" x14ac:dyDescent="0.25">
      <c r="A133" s="174"/>
      <c r="B133" s="202"/>
      <c r="C133" s="205" t="s">
        <v>490</v>
      </c>
      <c r="D133" s="206">
        <f>SUM(D74:D132)</f>
        <v>35319</v>
      </c>
      <c r="E133" s="206">
        <f>SUM(E74:E132)</f>
        <v>303059855.11082494</v>
      </c>
      <c r="F133" s="203"/>
      <c r="G133" s="174"/>
      <c r="H133" s="174"/>
      <c r="I133" s="174"/>
      <c r="J133" s="174"/>
      <c r="K133" s="174"/>
      <c r="L133" s="174"/>
      <c r="M133" s="174"/>
      <c r="N133" s="174"/>
      <c r="O133" s="174"/>
      <c r="P133" s="174"/>
      <c r="Q133" s="174"/>
      <c r="R133" s="174"/>
      <c r="S133" s="174"/>
      <c r="T133" s="174"/>
      <c r="U133" s="174"/>
      <c r="V133" s="174"/>
      <c r="W133" s="174"/>
      <c r="X133" s="174"/>
      <c r="Y133" s="174"/>
      <c r="Z133" s="174"/>
      <c r="AA133" s="174"/>
      <c r="AB133" s="174"/>
      <c r="AC133" s="174"/>
      <c r="AD133" s="174"/>
      <c r="AE133" s="174"/>
      <c r="AF133" s="174"/>
      <c r="AG133" s="174"/>
      <c r="AH133" s="174"/>
      <c r="AI133" s="174"/>
      <c r="AJ133" s="174"/>
      <c r="AK133" s="174"/>
      <c r="AL133" s="174"/>
      <c r="AM133" s="174"/>
      <c r="AN133" s="174"/>
      <c r="AO133" s="174"/>
      <c r="AP133" s="174"/>
      <c r="AQ133" s="174"/>
      <c r="AR133" s="174"/>
      <c r="AS133" s="174"/>
      <c r="AT133" s="174"/>
      <c r="AU133" s="174"/>
      <c r="AV133" s="174"/>
      <c r="AW133" s="174"/>
      <c r="AX133" s="174"/>
      <c r="AY133" s="174"/>
      <c r="AZ133" s="174"/>
      <c r="BA133" s="174"/>
      <c r="BB133" s="174"/>
      <c r="BC133" s="174"/>
      <c r="BD133" s="174"/>
      <c r="BE133" s="174"/>
      <c r="BF133" s="174"/>
      <c r="BG133" s="174"/>
      <c r="BH133" s="174"/>
      <c r="BI133" s="174"/>
      <c r="BJ133" s="174"/>
      <c r="BK133" s="174"/>
      <c r="BL133" s="174"/>
      <c r="BM133" s="174"/>
      <c r="BN133" s="174"/>
      <c r="BO133" s="174"/>
      <c r="BP133" s="174"/>
      <c r="BQ133" s="174"/>
      <c r="BR133" s="174"/>
      <c r="BS133" s="174"/>
      <c r="BT133" s="174"/>
      <c r="BU133" s="174"/>
      <c r="BV133" s="174"/>
      <c r="BW133" s="174"/>
      <c r="BX133" s="174"/>
    </row>
    <row r="134" spans="1:76" ht="27" customHeight="1" x14ac:dyDescent="0.25">
      <c r="D134" s="488">
        <f>D133+D72+D12</f>
        <v>78148</v>
      </c>
      <c r="E134" s="142">
        <f>E133+E72+E12</f>
        <v>641054975.58727503</v>
      </c>
    </row>
  </sheetData>
  <mergeCells count="9">
    <mergeCell ref="B13:F13"/>
    <mergeCell ref="B73:F73"/>
    <mergeCell ref="B2:F2"/>
    <mergeCell ref="B4:F4"/>
    <mergeCell ref="C92:C93"/>
    <mergeCell ref="B92:B93"/>
    <mergeCell ref="D92:D93"/>
    <mergeCell ref="E92:E93"/>
    <mergeCell ref="F92:F93"/>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3:H19"/>
  <sheetViews>
    <sheetView zoomScaleNormal="100" workbookViewId="0">
      <selection activeCell="G24" sqref="G24"/>
    </sheetView>
  </sheetViews>
  <sheetFormatPr defaultRowHeight="15.75" x14ac:dyDescent="0.25"/>
  <cols>
    <col min="1" max="1" width="5.7109375" style="4" customWidth="1"/>
    <col min="2" max="2" width="67.7109375" style="4" customWidth="1"/>
    <col min="3" max="3" width="7.5703125" style="4" customWidth="1"/>
    <col min="4" max="4" width="26.7109375" style="4" customWidth="1"/>
    <col min="5" max="16384" width="9.140625" style="4"/>
  </cols>
  <sheetData>
    <row r="3" spans="1:8" ht="25.5" customHeight="1" x14ac:dyDescent="0.25">
      <c r="C3" s="651" t="s">
        <v>101</v>
      </c>
      <c r="D3" s="651"/>
    </row>
    <row r="4" spans="1:8" ht="25.5" customHeight="1" x14ac:dyDescent="0.25">
      <c r="A4" s="5"/>
      <c r="B4" s="760" t="s">
        <v>136</v>
      </c>
      <c r="C4" s="802"/>
      <c r="D4" s="802"/>
    </row>
    <row r="5" spans="1:8" ht="25.5" customHeight="1" x14ac:dyDescent="0.25">
      <c r="A5" s="5"/>
      <c r="B5" s="760" t="s">
        <v>100</v>
      </c>
      <c r="C5" s="801"/>
      <c r="D5" s="801"/>
    </row>
    <row r="6" spans="1:8" ht="25.5" customHeight="1" x14ac:dyDescent="0.25">
      <c r="A6" s="5"/>
      <c r="B6" s="760" t="s">
        <v>99</v>
      </c>
      <c r="C6" s="801"/>
      <c r="D6" s="801"/>
    </row>
    <row r="7" spans="1:8" x14ac:dyDescent="0.25">
      <c r="A7" s="1"/>
    </row>
    <row r="8" spans="1:8" ht="21" customHeight="1" x14ac:dyDescent="0.25">
      <c r="A8" s="757"/>
      <c r="B8" s="757"/>
      <c r="C8" s="757"/>
      <c r="D8" s="757"/>
    </row>
    <row r="9" spans="1:8" ht="16.5" thickBot="1" x14ac:dyDescent="0.3">
      <c r="A9" s="3"/>
    </row>
    <row r="10" spans="1:8" ht="18" customHeight="1" x14ac:dyDescent="0.25">
      <c r="A10" s="799" t="s">
        <v>90</v>
      </c>
      <c r="B10" s="800" t="s">
        <v>103</v>
      </c>
      <c r="C10" s="800" t="s">
        <v>102</v>
      </c>
      <c r="D10" s="769" t="s">
        <v>111</v>
      </c>
    </row>
    <row r="11" spans="1:8" ht="67.5" customHeight="1" x14ac:dyDescent="0.25">
      <c r="A11" s="762"/>
      <c r="B11" s="763"/>
      <c r="C11" s="763"/>
      <c r="D11" s="770"/>
    </row>
    <row r="12" spans="1:8" ht="78.75" x14ac:dyDescent="0.25">
      <c r="A12" s="10">
        <v>1</v>
      </c>
      <c r="B12" s="6" t="s">
        <v>104</v>
      </c>
      <c r="C12" s="19" t="s">
        <v>95</v>
      </c>
      <c r="D12" s="20">
        <f>прил.3!E20</f>
        <v>14.6</v>
      </c>
      <c r="E12" s="3"/>
    </row>
    <row r="13" spans="1:8" ht="47.25" x14ac:dyDescent="0.25">
      <c r="A13" s="10">
        <v>2</v>
      </c>
      <c r="B13" s="6" t="s">
        <v>106</v>
      </c>
      <c r="C13" s="7" t="s">
        <v>105</v>
      </c>
      <c r="D13" s="11">
        <v>0</v>
      </c>
      <c r="F13" s="8" t="s">
        <v>109</v>
      </c>
      <c r="G13" s="8" t="s">
        <v>110</v>
      </c>
    </row>
    <row r="14" spans="1:8" ht="78.75" x14ac:dyDescent="0.25">
      <c r="A14" s="10">
        <v>3</v>
      </c>
      <c r="B14" s="6" t="s">
        <v>107</v>
      </c>
      <c r="C14" s="7" t="s">
        <v>105</v>
      </c>
      <c r="D14" s="12">
        <f>SUM('целевые показатели'!G142:G157,'целевые показатели'!G44:G44)</f>
        <v>21.200000000000003</v>
      </c>
      <c r="F14" s="4">
        <f>SUM('целевые показатели'!G44:G50)</f>
        <v>4.7299999999999995</v>
      </c>
      <c r="G14" s="4">
        <f>SUM('целевые показатели'!G142:G144)</f>
        <v>4.8950000000000005</v>
      </c>
      <c r="H14" s="4">
        <f>SUM(F14:G14)</f>
        <v>9.625</v>
      </c>
    </row>
    <row r="15" spans="1:8" ht="66.75" customHeight="1" thickBot="1" x14ac:dyDescent="0.3">
      <c r="A15" s="13">
        <v>4</v>
      </c>
      <c r="B15" s="14" t="s">
        <v>108</v>
      </c>
      <c r="C15" s="15" t="s">
        <v>105</v>
      </c>
      <c r="D15" s="16">
        <v>0</v>
      </c>
    </row>
    <row r="18" spans="1:6" ht="18.75" x14ac:dyDescent="0.3">
      <c r="A18" s="2" t="s">
        <v>126</v>
      </c>
      <c r="B18" s="2"/>
      <c r="C18" s="2"/>
      <c r="D18" s="9"/>
      <c r="E18" s="9"/>
      <c r="F18" s="9"/>
    </row>
    <row r="19" spans="1:6" ht="18.75" x14ac:dyDescent="0.3">
      <c r="A19" s="2" t="s">
        <v>127</v>
      </c>
      <c r="B19" s="2"/>
      <c r="C19" s="2"/>
      <c r="D19" s="2" t="s">
        <v>128</v>
      </c>
      <c r="E19" s="798"/>
      <c r="F19" s="798"/>
    </row>
  </sheetData>
  <mergeCells count="10">
    <mergeCell ref="C3:D3"/>
    <mergeCell ref="A8:D8"/>
    <mergeCell ref="B6:D6"/>
    <mergeCell ref="B5:D5"/>
    <mergeCell ref="B4:D4"/>
    <mergeCell ref="E19:F19"/>
    <mergeCell ref="D10:D11"/>
    <mergeCell ref="A10:A11"/>
    <mergeCell ref="B10:B11"/>
    <mergeCell ref="C10:C11"/>
  </mergeCells>
  <pageMargins left="0.7" right="0.7" top="0.75" bottom="0.75" header="0.3" footer="0.3"/>
  <pageSetup paperSize="9" scale="81" orientation="portrait" r:id="rId1"/>
  <colBreaks count="1" manualBreakCount="1">
    <brk id="4" max="1048575" man="1"/>
  </colBreaks>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J35"/>
  <sheetViews>
    <sheetView zoomScaleNormal="100" workbookViewId="0">
      <pane ySplit="6" topLeftCell="A7" activePane="bottomLeft" state="frozen"/>
      <selection pane="bottomLeft" activeCell="E22" sqref="E22"/>
    </sheetView>
  </sheetViews>
  <sheetFormatPr defaultRowHeight="15.75" x14ac:dyDescent="0.25"/>
  <cols>
    <col min="1" max="1" width="59.42578125" style="1" customWidth="1"/>
    <col min="2" max="3" width="20.42578125" style="1" customWidth="1"/>
    <col min="4" max="4" width="20.5703125" style="25" customWidth="1"/>
    <col min="5" max="5" width="16.140625" style="1" customWidth="1"/>
    <col min="6" max="6" width="9.140625" style="1" customWidth="1"/>
    <col min="7" max="7" width="26.7109375" style="1" customWidth="1"/>
    <col min="8" max="8" width="12.7109375" style="3" customWidth="1"/>
    <col min="9" max="9" width="12.42578125" style="1" bestFit="1" customWidth="1"/>
    <col min="10" max="10" width="27.5703125" style="1" customWidth="1"/>
    <col min="11" max="16384" width="9.140625" style="1"/>
  </cols>
  <sheetData>
    <row r="2" spans="1:9" x14ac:dyDescent="0.25">
      <c r="A2" s="810" t="s">
        <v>191</v>
      </c>
      <c r="B2" s="781"/>
      <c r="C2" s="781"/>
    </row>
    <row r="3" spans="1:9" ht="18.75" x14ac:dyDescent="0.25">
      <c r="A3" s="36"/>
      <c r="B3" s="37"/>
      <c r="C3" s="37"/>
    </row>
    <row r="4" spans="1:9" x14ac:dyDescent="0.25">
      <c r="A4" s="38" t="s">
        <v>230</v>
      </c>
      <c r="B4" s="26" t="s">
        <v>194</v>
      </c>
      <c r="C4" s="26" t="s">
        <v>195</v>
      </c>
    </row>
    <row r="5" spans="1:9" x14ac:dyDescent="0.25">
      <c r="A5" s="807" t="s">
        <v>129</v>
      </c>
      <c r="B5" s="808"/>
      <c r="C5" s="809"/>
    </row>
    <row r="6" spans="1:9" ht="48" customHeight="1" x14ac:dyDescent="0.25">
      <c r="A6" s="807" t="s">
        <v>148</v>
      </c>
      <c r="B6" s="811"/>
      <c r="C6" s="812"/>
    </row>
    <row r="7" spans="1:9" s="30" customFormat="1" ht="31.5" x14ac:dyDescent="0.25">
      <c r="A7" s="27" t="s">
        <v>192</v>
      </c>
      <c r="B7" s="28">
        <f>SUM(B8:B9)</f>
        <v>10211278.07</v>
      </c>
      <c r="C7" s="28"/>
      <c r="D7" s="29">
        <f>'целевые показатели'!I34</f>
        <v>10314.42231</v>
      </c>
      <c r="H7" s="48"/>
    </row>
    <row r="8" spans="1:9" x14ac:dyDescent="0.25">
      <c r="A8" s="24" t="s">
        <v>193</v>
      </c>
      <c r="B8" s="23">
        <v>1349578.61</v>
      </c>
      <c r="C8" s="23"/>
      <c r="G8" s="1" t="s">
        <v>257</v>
      </c>
    </row>
    <row r="9" spans="1:9" x14ac:dyDescent="0.25">
      <c r="A9" s="24" t="s">
        <v>193</v>
      </c>
      <c r="B9" s="23">
        <v>8861699.4600000009</v>
      </c>
      <c r="C9" s="23"/>
      <c r="D9" s="25">
        <v>8837345.4600000009</v>
      </c>
      <c r="E9" s="25">
        <f>B9-D9</f>
        <v>24354</v>
      </c>
      <c r="G9" s="1" t="s">
        <v>258</v>
      </c>
      <c r="H9" s="49">
        <v>24354</v>
      </c>
      <c r="I9" s="25" t="s">
        <v>261</v>
      </c>
    </row>
    <row r="10" spans="1:9" x14ac:dyDescent="0.25">
      <c r="A10" s="31" t="s">
        <v>130</v>
      </c>
      <c r="B10" s="32"/>
      <c r="C10" s="33"/>
    </row>
    <row r="11" spans="1:9" ht="31.5" customHeight="1" x14ac:dyDescent="0.25">
      <c r="A11" s="807" t="s">
        <v>15</v>
      </c>
      <c r="B11" s="811"/>
      <c r="C11" s="812"/>
    </row>
    <row r="12" spans="1:9" s="30" customFormat="1" ht="31.5" x14ac:dyDescent="0.25">
      <c r="A12" s="27" t="s">
        <v>192</v>
      </c>
      <c r="B12" s="28">
        <f>SUM(B13:B16)</f>
        <v>47431901.493900001</v>
      </c>
      <c r="C12" s="28">
        <f>SUM(C13:C14)</f>
        <v>0</v>
      </c>
      <c r="D12" s="29">
        <f>'целевые показатели'!I130</f>
        <v>19371.843597999999</v>
      </c>
      <c r="H12" s="48"/>
    </row>
    <row r="13" spans="1:9" ht="31.5" x14ac:dyDescent="0.25">
      <c r="A13" s="18" t="s">
        <v>196</v>
      </c>
      <c r="B13" s="23">
        <v>4938009.5456999997</v>
      </c>
      <c r="C13" s="23"/>
    </row>
    <row r="14" spans="1:9" x14ac:dyDescent="0.25">
      <c r="A14" s="18" t="s">
        <v>197</v>
      </c>
      <c r="B14" s="23">
        <v>19497098.412</v>
      </c>
      <c r="C14" s="23"/>
      <c r="G14" s="1" t="s">
        <v>262</v>
      </c>
      <c r="H14" s="50" t="s">
        <v>263</v>
      </c>
    </row>
    <row r="15" spans="1:9" ht="31.5" x14ac:dyDescent="0.25">
      <c r="A15" s="18" t="s">
        <v>198</v>
      </c>
      <c r="B15" s="23">
        <v>7038983.5362</v>
      </c>
      <c r="C15" s="23"/>
    </row>
    <row r="16" spans="1:9" ht="31.5" x14ac:dyDescent="0.25">
      <c r="A16" s="18" t="s">
        <v>199</v>
      </c>
      <c r="B16" s="23">
        <v>15957810</v>
      </c>
      <c r="C16" s="23"/>
      <c r="D16" s="34">
        <f>19178.12516+28253.77632</f>
        <v>47431.90148</v>
      </c>
      <c r="G16" s="1" t="s">
        <v>260</v>
      </c>
    </row>
    <row r="17" spans="1:10" x14ac:dyDescent="0.25">
      <c r="A17" s="40" t="s">
        <v>131</v>
      </c>
      <c r="B17" s="25"/>
      <c r="C17" s="25"/>
    </row>
    <row r="18" spans="1:10" ht="80.25" customHeight="1" x14ac:dyDescent="0.25">
      <c r="A18" s="813" t="s">
        <v>14</v>
      </c>
      <c r="B18" s="811"/>
      <c r="C18" s="812"/>
    </row>
    <row r="19" spans="1:10" ht="31.5" x14ac:dyDescent="0.25">
      <c r="A19" s="27" t="s">
        <v>192</v>
      </c>
      <c r="B19" s="28">
        <f>SUM(B20:B24)</f>
        <v>82538739.726300001</v>
      </c>
      <c r="C19" s="28">
        <f>SUM(C20:C24)</f>
        <v>1007319.7836999999</v>
      </c>
      <c r="D19" s="25">
        <f>'целевые показатели'!I159</f>
        <v>83546.059510000006</v>
      </c>
    </row>
    <row r="20" spans="1:10" x14ac:dyDescent="0.25">
      <c r="A20" s="18" t="s">
        <v>200</v>
      </c>
      <c r="B20" s="23">
        <v>0</v>
      </c>
      <c r="C20" s="23">
        <v>81721.5</v>
      </c>
    </row>
    <row r="21" spans="1:10" x14ac:dyDescent="0.25">
      <c r="A21" s="18" t="s">
        <v>201</v>
      </c>
      <c r="B21" s="23">
        <v>0</v>
      </c>
      <c r="C21" s="23">
        <v>91873.64</v>
      </c>
    </row>
    <row r="22" spans="1:10" x14ac:dyDescent="0.25">
      <c r="A22" s="18" t="s">
        <v>227</v>
      </c>
      <c r="B22" s="23">
        <v>10520883.430200001</v>
      </c>
      <c r="C22" s="23">
        <f>D22-B22</f>
        <v>106271.54979999922</v>
      </c>
      <c r="D22" s="35">
        <v>10627154.98</v>
      </c>
    </row>
    <row r="23" spans="1:10" x14ac:dyDescent="0.25">
      <c r="A23" s="18" t="s">
        <v>228</v>
      </c>
      <c r="B23" s="23">
        <v>62847889.909199998</v>
      </c>
      <c r="C23" s="23">
        <f>D23-B23</f>
        <v>634827.17080000043</v>
      </c>
      <c r="D23" s="35">
        <v>63482717.079999998</v>
      </c>
    </row>
    <row r="24" spans="1:10" x14ac:dyDescent="0.25">
      <c r="A24" s="41" t="s">
        <v>229</v>
      </c>
      <c r="B24" s="39">
        <v>9169966.3869000003</v>
      </c>
      <c r="C24" s="39">
        <f>D24-B24</f>
        <v>92625.923100000247</v>
      </c>
      <c r="D24" s="35">
        <v>9262592.3100000005</v>
      </c>
    </row>
    <row r="25" spans="1:10" x14ac:dyDescent="0.25">
      <c r="A25" s="42" t="s">
        <v>132</v>
      </c>
      <c r="B25" s="43"/>
      <c r="C25" s="35"/>
    </row>
    <row r="26" spans="1:10" ht="30.75" customHeight="1" x14ac:dyDescent="0.25">
      <c r="A26" s="804" t="s">
        <v>13</v>
      </c>
      <c r="B26" s="805"/>
      <c r="C26" s="806"/>
    </row>
    <row r="27" spans="1:10" ht="31.5" x14ac:dyDescent="0.25">
      <c r="A27" s="27" t="s">
        <v>192</v>
      </c>
      <c r="B27" s="55">
        <f>SUM(B28:B33)</f>
        <v>5806.1473854999995</v>
      </c>
      <c r="C27" s="55">
        <f>SUM(C28:C33)</f>
        <v>305.58670450000022</v>
      </c>
      <c r="D27" s="34">
        <f>SUM(B27:C27)</f>
        <v>6111.7340899999999</v>
      </c>
    </row>
    <row r="28" spans="1:10" ht="63" x14ac:dyDescent="0.25">
      <c r="A28" s="44" t="s">
        <v>212</v>
      </c>
      <c r="B28" s="45">
        <f t="shared" ref="B28:B33" si="0">D28*0.95</f>
        <v>1523.07078</v>
      </c>
      <c r="C28" s="22">
        <f t="shared" ref="C28:C33" si="1">D28-B28</f>
        <v>80.161620000000084</v>
      </c>
      <c r="D28" s="34">
        <v>1603.2324000000001</v>
      </c>
      <c r="G28" s="803" t="s">
        <v>259</v>
      </c>
      <c r="H28" s="756"/>
    </row>
    <row r="29" spans="1:10" ht="63" x14ac:dyDescent="0.25">
      <c r="A29" s="44" t="s">
        <v>219</v>
      </c>
      <c r="B29" s="45">
        <f t="shared" si="0"/>
        <v>2046.5537544999997</v>
      </c>
      <c r="C29" s="22">
        <f t="shared" si="1"/>
        <v>107.71335550000003</v>
      </c>
      <c r="D29" s="34">
        <v>2154.2671099999998</v>
      </c>
      <c r="G29" s="51">
        <f>B29*0.95</f>
        <v>1944.2260667749997</v>
      </c>
    </row>
    <row r="30" spans="1:10" s="51" customFormat="1" ht="63" x14ac:dyDescent="0.25">
      <c r="A30" s="52" t="s">
        <v>220</v>
      </c>
      <c r="B30" s="45">
        <f t="shared" si="0"/>
        <v>1414.7846309999998</v>
      </c>
      <c r="C30" s="22">
        <f t="shared" si="1"/>
        <v>74.462349000000131</v>
      </c>
      <c r="D30" s="56">
        <v>1489.2469799999999</v>
      </c>
      <c r="E30" s="51">
        <v>1433.933192</v>
      </c>
      <c r="F30" s="51">
        <v>75.470168000000058</v>
      </c>
      <c r="H30" s="53"/>
      <c r="I30" s="54"/>
      <c r="J30" s="54"/>
    </row>
    <row r="31" spans="1:10" ht="47.25" x14ac:dyDescent="0.25">
      <c r="A31" s="44" t="s">
        <v>221</v>
      </c>
      <c r="B31" s="45">
        <f t="shared" si="0"/>
        <v>388.32239900000002</v>
      </c>
      <c r="C31" s="22">
        <f t="shared" si="1"/>
        <v>20.438020999999992</v>
      </c>
      <c r="D31" s="34">
        <v>408.76042000000001</v>
      </c>
      <c r="G31" s="51"/>
    </row>
    <row r="32" spans="1:10" ht="47.25" x14ac:dyDescent="0.25">
      <c r="A32" s="44" t="s">
        <v>222</v>
      </c>
      <c r="B32" s="45">
        <f t="shared" si="0"/>
        <v>33.460177999999999</v>
      </c>
      <c r="C32" s="22">
        <f t="shared" si="1"/>
        <v>1.7610620000000026</v>
      </c>
      <c r="D32" s="34">
        <v>35.221240000000002</v>
      </c>
      <c r="G32" s="51"/>
    </row>
    <row r="33" spans="1:10" ht="47.25" x14ac:dyDescent="0.25">
      <c r="A33" s="44" t="s">
        <v>223</v>
      </c>
      <c r="B33" s="45">
        <f t="shared" si="0"/>
        <v>399.95564300000001</v>
      </c>
      <c r="C33" s="22">
        <f t="shared" si="1"/>
        <v>21.050297</v>
      </c>
      <c r="D33" s="34">
        <v>421.00594000000001</v>
      </c>
      <c r="G33" s="51">
        <f>B33*0.95</f>
        <v>379.95786084999997</v>
      </c>
      <c r="J33" s="34">
        <f>G29+J30+G31+G32+G33+J28</f>
        <v>2324.1839276249998</v>
      </c>
    </row>
    <row r="34" spans="1:10" x14ac:dyDescent="0.25">
      <c r="D34" s="25">
        <f>SUM(D29:D33)</f>
        <v>4508.5016899999991</v>
      </c>
      <c r="J34" s="1">
        <v>5806.1473854999995</v>
      </c>
    </row>
    <row r="35" spans="1:10" x14ac:dyDescent="0.25">
      <c r="D35" s="25">
        <v>1170</v>
      </c>
    </row>
  </sheetData>
  <mergeCells count="7">
    <mergeCell ref="G28:H28"/>
    <mergeCell ref="A26:C26"/>
    <mergeCell ref="A5:C5"/>
    <mergeCell ref="A2:C2"/>
    <mergeCell ref="A6:C6"/>
    <mergeCell ref="A11:C11"/>
    <mergeCell ref="A18:C18"/>
  </mergeCells>
  <pageMargins left="0.7" right="0.7" top="0.75" bottom="0.75" header="0.3" footer="0.3"/>
  <pageSetup paperSize="9" scale="62" orientation="portrait" r:id="rId1"/>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I22"/>
  <sheetViews>
    <sheetView workbookViewId="0">
      <selection activeCell="G15" sqref="G15"/>
    </sheetView>
  </sheetViews>
  <sheetFormatPr defaultRowHeight="15" x14ac:dyDescent="0.25"/>
  <cols>
    <col min="1" max="1" width="5.7109375" style="83" customWidth="1"/>
    <col min="2" max="2" width="59.7109375" style="82" customWidth="1"/>
    <col min="3" max="3" width="9.140625" style="148"/>
    <col min="4" max="4" width="14.7109375" style="81" customWidth="1"/>
    <col min="5" max="5" width="9.140625" style="81"/>
    <col min="6" max="6" width="14.85546875" style="81" customWidth="1"/>
    <col min="7" max="7" width="18.85546875" style="81" customWidth="1"/>
    <col min="8" max="8" width="15.5703125" style="81" bestFit="1" customWidth="1"/>
    <col min="9" max="9" width="17.140625" style="81" customWidth="1"/>
    <col min="10" max="16384" width="9.140625" style="81"/>
  </cols>
  <sheetData>
    <row r="2" spans="1:9" ht="24" customHeight="1" x14ac:dyDescent="0.25">
      <c r="C2" s="814" t="s">
        <v>493</v>
      </c>
      <c r="D2" s="815"/>
      <c r="E2" s="814" t="s">
        <v>489</v>
      </c>
      <c r="F2" s="815"/>
    </row>
    <row r="3" spans="1:9" ht="21" customHeight="1" x14ac:dyDescent="0.25">
      <c r="A3" s="145">
        <v>1</v>
      </c>
      <c r="B3" s="143" t="s">
        <v>153</v>
      </c>
      <c r="C3" s="151" t="s">
        <v>224</v>
      </c>
      <c r="D3" s="153">
        <v>21875829</v>
      </c>
      <c r="E3" s="152" t="s">
        <v>224</v>
      </c>
      <c r="F3" s="161">
        <v>12511418.380000001</v>
      </c>
    </row>
    <row r="4" spans="1:9" ht="21" customHeight="1" x14ac:dyDescent="0.25">
      <c r="A4" s="145">
        <v>2</v>
      </c>
      <c r="B4" s="143" t="str">
        <f>'целевые показатели'!B45</f>
        <v>ул.Мостовая</v>
      </c>
      <c r="C4" s="147">
        <v>1.97</v>
      </c>
      <c r="D4" s="146">
        <v>38647633.920000002</v>
      </c>
      <c r="E4" s="154">
        <v>1.97</v>
      </c>
      <c r="F4" s="162">
        <v>38647633.920000002</v>
      </c>
    </row>
    <row r="5" spans="1:9" s="160" customFormat="1" x14ac:dyDescent="0.25">
      <c r="A5" s="156">
        <v>3</v>
      </c>
      <c r="B5" s="157" t="str">
        <f>'целевые показатели'!B46</f>
        <v>ул.Генерала Родина на участке от ул.Мостовой до ул.Веселой</v>
      </c>
      <c r="C5" s="163">
        <v>0.95</v>
      </c>
      <c r="D5" s="155">
        <v>9261915.9199999999</v>
      </c>
      <c r="E5" s="164">
        <v>0.91</v>
      </c>
      <c r="F5" s="165">
        <v>9261918.9199999999</v>
      </c>
      <c r="G5" s="160">
        <f>F5*0.99</f>
        <v>9169299.7307999991</v>
      </c>
      <c r="H5" s="160">
        <f>F5-G5</f>
        <v>92619.189200000837</v>
      </c>
    </row>
    <row r="6" spans="1:9" ht="30" x14ac:dyDescent="0.25">
      <c r="A6" s="145">
        <v>4</v>
      </c>
      <c r="B6" s="143" t="str">
        <f>'целевые показатели'!B47</f>
        <v>Наугорское шоссе от ул. Лескова до ул. Скворцова (1 этап от ул.Лескова до ул.Цветаева)</v>
      </c>
      <c r="C6" s="147">
        <v>0.97</v>
      </c>
      <c r="D6" s="146">
        <f>11337.80044*1000</f>
        <v>11337800.440000001</v>
      </c>
      <c r="E6" s="154">
        <v>0.97</v>
      </c>
      <c r="F6" s="162">
        <f>11337.80044*1000</f>
        <v>11337800.440000001</v>
      </c>
      <c r="G6" s="160"/>
      <c r="H6" s="160"/>
    </row>
    <row r="7" spans="1:9" s="160" customFormat="1" ht="21" customHeight="1" x14ac:dyDescent="0.25">
      <c r="A7" s="156">
        <v>5</v>
      </c>
      <c r="B7" s="157" t="str">
        <f>'целевые показатели'!B48</f>
        <v>Кромской проезд</v>
      </c>
      <c r="C7" s="163">
        <v>0.28000000000000003</v>
      </c>
      <c r="D7" s="155">
        <v>1791804</v>
      </c>
      <c r="E7" s="164">
        <v>0.18</v>
      </c>
      <c r="F7" s="165">
        <v>1703578.12</v>
      </c>
      <c r="G7" s="160">
        <f>F7*0.99</f>
        <v>1686542.3388</v>
      </c>
      <c r="H7" s="160">
        <f>F7-G7</f>
        <v>17035.781200000085</v>
      </c>
    </row>
    <row r="8" spans="1:9" ht="21" customHeight="1" x14ac:dyDescent="0.25">
      <c r="A8" s="145">
        <v>6</v>
      </c>
      <c r="B8" s="143" t="str">
        <f>'целевые показатели'!B49</f>
        <v xml:space="preserve">ул.Базовая </v>
      </c>
      <c r="C8" s="147">
        <v>0.40500000000000003</v>
      </c>
      <c r="D8" s="146">
        <v>6303572.0199999996</v>
      </c>
      <c r="E8" s="154">
        <v>0.45</v>
      </c>
      <c r="F8" s="162">
        <f>5729218.15+332310.21</f>
        <v>6061528.3600000003</v>
      </c>
      <c r="G8" s="160"/>
      <c r="H8" s="160"/>
    </row>
    <row r="9" spans="1:9" s="160" customFormat="1" ht="21" customHeight="1" x14ac:dyDescent="0.25">
      <c r="A9" s="156">
        <v>7</v>
      </c>
      <c r="B9" s="157" t="str">
        <f>'целевые показатели'!B50</f>
        <v xml:space="preserve">ул.Комсомольская в районе д. 95 </v>
      </c>
      <c r="C9" s="163">
        <v>0.33</v>
      </c>
      <c r="D9" s="155">
        <v>6500000</v>
      </c>
      <c r="E9" s="164">
        <v>0.25</v>
      </c>
      <c r="F9" s="165">
        <v>6500000</v>
      </c>
      <c r="G9" s="160">
        <f>F9*0.99</f>
        <v>6435000</v>
      </c>
      <c r="H9" s="160">
        <f>F9-G9</f>
        <v>65000</v>
      </c>
    </row>
    <row r="10" spans="1:9" s="160" customFormat="1" ht="30" x14ac:dyDescent="0.25">
      <c r="A10" s="156">
        <v>8</v>
      </c>
      <c r="B10" s="157" t="str">
        <f>'целевые показатели'!B51</f>
        <v>ул.МОПРа (от ул.Комсомольская до спец.пожарно-спасательной части ФПС по Орловской области)</v>
      </c>
      <c r="C10" s="163">
        <v>0.57299999999999995</v>
      </c>
      <c r="D10" s="155">
        <v>9059853.5999999996</v>
      </c>
      <c r="E10" s="164">
        <v>0.54400000000000004</v>
      </c>
      <c r="F10" s="165">
        <v>8709300.1899999995</v>
      </c>
      <c r="G10" s="160">
        <f>F10*0.99</f>
        <v>8622207.188099999</v>
      </c>
      <c r="H10" s="160">
        <f>F10-G10</f>
        <v>87093.001900000498</v>
      </c>
    </row>
    <row r="11" spans="1:9" s="160" customFormat="1" ht="30" x14ac:dyDescent="0.25">
      <c r="A11" s="156">
        <v>9</v>
      </c>
      <c r="B11" s="157" t="str">
        <f>'целевые показатели'!B52</f>
        <v>ремонт Комсомольской площади в районе м-на "ГАММА" (ул. Комсомольская д.102)</v>
      </c>
      <c r="C11" s="163">
        <v>0.47</v>
      </c>
      <c r="D11" s="155">
        <v>12028249.199999999</v>
      </c>
      <c r="E11" s="164">
        <v>0.371</v>
      </c>
      <c r="F11" s="165">
        <v>8580833.6600000001</v>
      </c>
      <c r="G11" s="160">
        <f>F11*0.99</f>
        <v>8495025.3234000001</v>
      </c>
      <c r="H11" s="160">
        <f>F11-G11</f>
        <v>85808.336600000039</v>
      </c>
    </row>
    <row r="12" spans="1:9" ht="21" customHeight="1" x14ac:dyDescent="0.25">
      <c r="A12" s="145">
        <v>10</v>
      </c>
      <c r="B12" s="143" t="str">
        <f>'целевые показатели'!B53</f>
        <v>ул.Германо</v>
      </c>
      <c r="C12" s="147">
        <v>0.97</v>
      </c>
      <c r="D12" s="146">
        <v>15675129.6</v>
      </c>
      <c r="E12" s="154">
        <v>1.47</v>
      </c>
      <c r="F12" s="162">
        <v>15231919.66</v>
      </c>
    </row>
    <row r="13" spans="1:9" ht="21" customHeight="1" x14ac:dyDescent="0.25">
      <c r="A13" s="145">
        <v>11</v>
      </c>
      <c r="B13" s="143" t="str">
        <f>'целевые показатели'!B54</f>
        <v>ул.Березовая</v>
      </c>
      <c r="C13" s="147">
        <v>1.29</v>
      </c>
      <c r="D13" s="146">
        <v>14352373.199999999</v>
      </c>
      <c r="E13" s="154">
        <v>1.29</v>
      </c>
      <c r="F13" s="162">
        <v>13849912.85</v>
      </c>
    </row>
    <row r="14" spans="1:9" ht="21" customHeight="1" x14ac:dyDescent="0.25">
      <c r="A14" s="145">
        <v>12</v>
      </c>
      <c r="B14" s="143" t="str">
        <f>'целевые показатели'!B55</f>
        <v>пер.Ремонтный до ул.Паровозная</v>
      </c>
      <c r="C14" s="147">
        <v>1.03</v>
      </c>
      <c r="D14" s="146">
        <v>10933666.800000001</v>
      </c>
      <c r="E14" s="154">
        <v>1.3</v>
      </c>
      <c r="F14" s="162">
        <v>10413806.16</v>
      </c>
    </row>
    <row r="15" spans="1:9" ht="75" x14ac:dyDescent="0.25">
      <c r="A15" s="145">
        <v>13</v>
      </c>
      <c r="B15" s="143" t="str">
        <f>'целевые показатели'!B244</f>
        <v>Капитальный ремонт улично-дорожной сети города Орла
по ул. Салтыкова-Щедрина, ул. Тургенева от дома № 15 до дома № 19, ул. Полесская от дома № 29А до дома № 18 по ул. Салтыкова-Щедрина, ул. Гуртьева от дома № 2 до дома № 6, ул. Красноармейская от дома № 4 до дома № 6</v>
      </c>
      <c r="C15" s="147">
        <v>1.47</v>
      </c>
      <c r="D15" s="146">
        <v>30430207.600000001</v>
      </c>
      <c r="E15" s="144">
        <v>0</v>
      </c>
      <c r="F15" s="162">
        <v>0</v>
      </c>
    </row>
    <row r="16" spans="1:9" ht="30" x14ac:dyDescent="0.25">
      <c r="A16" s="145">
        <v>14</v>
      </c>
      <c r="B16" s="143" t="str">
        <f>'целевые показатели'!B245</f>
        <v>Капитальный ремонт улично-дорожной сети города Орла
по ул. Пионерская</v>
      </c>
      <c r="C16" s="144">
        <f>0.928</f>
        <v>0.92800000000000005</v>
      </c>
      <c r="D16" s="146">
        <v>72000000</v>
      </c>
      <c r="E16" s="144">
        <f>0.928-0.928</f>
        <v>0</v>
      </c>
      <c r="F16" s="162">
        <v>53978952.090000004</v>
      </c>
      <c r="H16" s="81">
        <f>SUM(F3:F16)</f>
        <v>196788602.75</v>
      </c>
      <c r="I16" s="81">
        <f>H16*0.99</f>
        <v>194820716.7225</v>
      </c>
    </row>
    <row r="17" spans="1:9" ht="30" x14ac:dyDescent="0.25">
      <c r="A17" s="145">
        <v>15</v>
      </c>
      <c r="B17" s="143" t="str">
        <f>'целевые показатели'!B247</f>
        <v>Капитальный ремонт улично-дорожной сети города Орла по ул. Кольцевая</v>
      </c>
      <c r="C17" s="149" t="s">
        <v>224</v>
      </c>
      <c r="D17" s="146">
        <v>9931602.5099999998</v>
      </c>
      <c r="E17" s="144">
        <f>1.16-1.16</f>
        <v>0</v>
      </c>
      <c r="F17" s="146">
        <v>0</v>
      </c>
      <c r="I17" s="81">
        <f>H16-I16</f>
        <v>1967886.0275000036</v>
      </c>
    </row>
    <row r="18" spans="1:9" x14ac:dyDescent="0.25">
      <c r="A18" s="145">
        <v>16</v>
      </c>
      <c r="B18" s="143" t="s">
        <v>491</v>
      </c>
      <c r="C18" s="149" t="s">
        <v>224</v>
      </c>
      <c r="D18" s="146">
        <f>693900+488300+128500+77100+102800+411200+77100+102800+77100+77100+154200+77100+25700+25700+51400+51400+25700</f>
        <v>2647100</v>
      </c>
      <c r="E18" s="144"/>
      <c r="F18" s="146">
        <v>2645218.2000000002</v>
      </c>
    </row>
    <row r="19" spans="1:9" x14ac:dyDescent="0.25">
      <c r="A19" s="145">
        <v>17</v>
      </c>
      <c r="B19" s="143" t="s">
        <v>492</v>
      </c>
      <c r="C19" s="149"/>
      <c r="D19" s="146">
        <f>12420168+19371843.6+(2686500*6)</f>
        <v>47911011.600000001</v>
      </c>
      <c r="E19" s="144"/>
      <c r="F19" s="146">
        <f>16119000+12420168+19371843.6</f>
        <v>47911011.600000001</v>
      </c>
    </row>
    <row r="20" spans="1:9" s="160" customFormat="1" x14ac:dyDescent="0.25">
      <c r="A20" s="156"/>
      <c r="B20" s="157" t="s">
        <v>494</v>
      </c>
      <c r="C20" s="158"/>
      <c r="D20" s="155"/>
      <c r="E20" s="159"/>
      <c r="F20" s="155">
        <v>66080225.75</v>
      </c>
    </row>
    <row r="21" spans="1:9" ht="29.25" customHeight="1" x14ac:dyDescent="0.25">
      <c r="B21" s="150" t="s">
        <v>490</v>
      </c>
      <c r="C21" s="148">
        <f>SUM(C4:C17)</f>
        <v>11.635999999999999</v>
      </c>
      <c r="D21" s="86">
        <f>SUM(D3:D19)</f>
        <v>320687749.41000003</v>
      </c>
      <c r="E21" s="81">
        <f>SUM(E3:E19)</f>
        <v>9.7050000000000001</v>
      </c>
      <c r="F21" s="86">
        <f>SUM(F3:F20)</f>
        <v>313425058.29999995</v>
      </c>
    </row>
    <row r="22" spans="1:9" x14ac:dyDescent="0.25">
      <c r="C22" s="148">
        <f>C21-C15-C16</f>
        <v>9.2379999999999978</v>
      </c>
    </row>
  </sheetData>
  <mergeCells count="2">
    <mergeCell ref="C2:D2"/>
    <mergeCell ref="E2:F2"/>
  </mergeCells>
  <pageMargins left="0.70866141732283472" right="0.70866141732283472" top="0.74803149606299213" bottom="0.74803149606299213" header="0.31496062992125984" footer="0.31496062992125984"/>
  <pageSetup paperSize="9" scale="79" orientation="landscape"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M29"/>
  <sheetViews>
    <sheetView workbookViewId="0">
      <selection activeCell="K23" sqref="K23"/>
    </sheetView>
  </sheetViews>
  <sheetFormatPr defaultRowHeight="15" x14ac:dyDescent="0.25"/>
  <cols>
    <col min="1" max="1" width="20.85546875" style="59" customWidth="1"/>
    <col min="2" max="2" width="15.7109375" style="59" customWidth="1"/>
    <col min="3" max="4" width="13.7109375" style="75" customWidth="1"/>
    <col min="5" max="6" width="13.7109375" style="59" customWidth="1"/>
    <col min="7" max="7" width="12.85546875" style="59" customWidth="1"/>
    <col min="8" max="16384" width="9.140625" style="59"/>
  </cols>
  <sheetData>
    <row r="3" spans="1:7" x14ac:dyDescent="0.25">
      <c r="A3" s="74" t="s">
        <v>371</v>
      </c>
      <c r="F3" s="816" t="s">
        <v>330</v>
      </c>
      <c r="G3" s="816"/>
    </row>
    <row r="4" spans="1:7" ht="15" customHeight="1" x14ac:dyDescent="0.25">
      <c r="A4" s="774" t="s">
        <v>324</v>
      </c>
      <c r="B4" s="774" t="s">
        <v>327</v>
      </c>
      <c r="C4" s="817" t="s">
        <v>328</v>
      </c>
      <c r="D4" s="818"/>
      <c r="E4" s="818"/>
      <c r="F4" s="819"/>
      <c r="G4" s="774" t="s">
        <v>95</v>
      </c>
    </row>
    <row r="5" spans="1:7" x14ac:dyDescent="0.25">
      <c r="A5" s="774"/>
      <c r="B5" s="774"/>
      <c r="C5" s="76">
        <v>2020</v>
      </c>
      <c r="D5" s="76">
        <v>2021</v>
      </c>
      <c r="E5" s="60">
        <v>2022</v>
      </c>
      <c r="F5" s="60">
        <v>2023</v>
      </c>
      <c r="G5" s="774"/>
    </row>
    <row r="6" spans="1:7" ht="30" x14ac:dyDescent="0.25">
      <c r="A6" s="62" t="s">
        <v>325</v>
      </c>
      <c r="B6" s="61">
        <f>SUM(C6:F6)</f>
        <v>359330.14999999997</v>
      </c>
      <c r="C6" s="77">
        <v>27101.599999999999</v>
      </c>
      <c r="D6" s="77">
        <v>39.25</v>
      </c>
      <c r="E6" s="61">
        <v>332189.3</v>
      </c>
      <c r="F6" s="61">
        <v>0</v>
      </c>
      <c r="G6" s="63">
        <f>B6/$B$9</f>
        <v>0.12697178456580868</v>
      </c>
    </row>
    <row r="7" spans="1:7" x14ac:dyDescent="0.25">
      <c r="A7" s="62" t="s">
        <v>331</v>
      </c>
      <c r="B7" s="61">
        <f>SUM(C7:F7)</f>
        <v>2440394.3989999997</v>
      </c>
      <c r="C7" s="77">
        <v>46883.18</v>
      </c>
      <c r="D7" s="77">
        <v>0</v>
      </c>
      <c r="E7" s="61">
        <v>0</v>
      </c>
      <c r="F7" s="61">
        <v>2393511.2189999996</v>
      </c>
      <c r="G7" s="63">
        <f>B7/$B$9</f>
        <v>0.86233017709600535</v>
      </c>
    </row>
    <row r="8" spans="1:7" x14ac:dyDescent="0.25">
      <c r="A8" s="62" t="s">
        <v>326</v>
      </c>
      <c r="B8" s="61">
        <f>SUM(C8:F8)</f>
        <v>30275.448470000054</v>
      </c>
      <c r="C8" s="77">
        <v>2742.72</v>
      </c>
      <c r="D8" s="77">
        <v>0.4</v>
      </c>
      <c r="E8" s="61">
        <v>3355.4474700000001</v>
      </c>
      <c r="F8" s="61">
        <v>24176.881000000052</v>
      </c>
      <c r="G8" s="63">
        <f>B8/$B$9</f>
        <v>1.0698038338185898E-2</v>
      </c>
    </row>
    <row r="9" spans="1:7" x14ac:dyDescent="0.25">
      <c r="A9" s="60" t="s">
        <v>329</v>
      </c>
      <c r="B9" s="61">
        <f>SUM(C9:F9)</f>
        <v>2829999.9974699998</v>
      </c>
      <c r="C9" s="77">
        <f>SUM(C6:C8)</f>
        <v>76727.5</v>
      </c>
      <c r="D9" s="77">
        <f>SUM(D6:D8)</f>
        <v>39.65</v>
      </c>
      <c r="E9" s="61">
        <f>SUM(E6:E8)</f>
        <v>335544.74747</v>
      </c>
      <c r="F9" s="61">
        <v>2417688.0999999996</v>
      </c>
      <c r="G9" s="63">
        <f>SUM(G6:G8)</f>
        <v>1</v>
      </c>
    </row>
    <row r="10" spans="1:7" x14ac:dyDescent="0.25">
      <c r="B10" s="65">
        <f>SUM(B6:B8)</f>
        <v>2829999.9974699998</v>
      </c>
    </row>
    <row r="11" spans="1:7" x14ac:dyDescent="0.25">
      <c r="B11" s="66"/>
      <c r="C11" s="78">
        <f>C8/C9</f>
        <v>3.574624482747385E-2</v>
      </c>
      <c r="D11" s="78">
        <f>D8/D9</f>
        <v>1.0088272383354352E-2</v>
      </c>
      <c r="E11" s="68">
        <f>E8/E9</f>
        <v>9.9999999859929269E-3</v>
      </c>
      <c r="F11" s="67">
        <f>F8/F9</f>
        <v>1.0000000000000023E-2</v>
      </c>
    </row>
    <row r="12" spans="1:7" x14ac:dyDescent="0.25">
      <c r="B12" s="66"/>
      <c r="C12" s="78"/>
      <c r="D12" s="78"/>
      <c r="E12" s="66"/>
      <c r="F12" s="66"/>
    </row>
    <row r="14" spans="1:7" x14ac:dyDescent="0.25">
      <c r="A14" s="74" t="s">
        <v>369</v>
      </c>
    </row>
    <row r="15" spans="1:7" x14ac:dyDescent="0.25">
      <c r="A15" s="820" t="s">
        <v>324</v>
      </c>
      <c r="B15" s="820" t="s">
        <v>327</v>
      </c>
      <c r="C15" s="820" t="s">
        <v>328</v>
      </c>
      <c r="D15" s="820"/>
      <c r="E15" s="820"/>
      <c r="F15" s="820"/>
      <c r="G15" s="820" t="s">
        <v>95</v>
      </c>
    </row>
    <row r="16" spans="1:7" x14ac:dyDescent="0.25">
      <c r="A16" s="820"/>
      <c r="B16" s="820"/>
      <c r="C16" s="79">
        <v>2020</v>
      </c>
      <c r="D16" s="79">
        <v>2021</v>
      </c>
      <c r="E16" s="69">
        <v>2022</v>
      </c>
      <c r="F16" s="69">
        <v>2023</v>
      </c>
      <c r="G16" s="820"/>
    </row>
    <row r="17" spans="1:13" ht="30" x14ac:dyDescent="0.25">
      <c r="A17" s="70" t="s">
        <v>325</v>
      </c>
      <c r="B17" s="71">
        <f>SUM(C17:F17)</f>
        <v>528592.22</v>
      </c>
      <c r="C17" s="80">
        <v>196363.63</v>
      </c>
      <c r="D17" s="79">
        <v>39.29</v>
      </c>
      <c r="E17" s="71">
        <v>332189.3</v>
      </c>
      <c r="F17" s="69">
        <v>0</v>
      </c>
      <c r="G17" s="72">
        <f>B17/$B$20</f>
        <v>0.22622090945020043</v>
      </c>
    </row>
    <row r="18" spans="1:13" x14ac:dyDescent="0.25">
      <c r="A18" s="70" t="s">
        <v>331</v>
      </c>
      <c r="B18" s="71">
        <f>SUM(C18:F18)</f>
        <v>1784661.22</v>
      </c>
      <c r="C18" s="79">
        <v>0</v>
      </c>
      <c r="D18" s="79">
        <v>0</v>
      </c>
      <c r="E18" s="69">
        <v>0</v>
      </c>
      <c r="F18" s="71">
        <v>1784661.22</v>
      </c>
      <c r="G18" s="72">
        <f>B18/$B$20</f>
        <v>0.76377908900911229</v>
      </c>
    </row>
    <row r="19" spans="1:13" x14ac:dyDescent="0.25">
      <c r="A19" s="70" t="s">
        <v>326</v>
      </c>
      <c r="B19" s="71">
        <f>SUM(C19:F19)</f>
        <v>23366.2</v>
      </c>
      <c r="C19" s="80">
        <v>1983.47</v>
      </c>
      <c r="D19" s="79">
        <v>0.4</v>
      </c>
      <c r="E19" s="71">
        <v>3355.45</v>
      </c>
      <c r="F19" s="71">
        <v>18026.88</v>
      </c>
      <c r="G19" s="72">
        <f>B19/$B$20</f>
        <v>1.0000001540687212E-2</v>
      </c>
    </row>
    <row r="20" spans="1:13" x14ac:dyDescent="0.25">
      <c r="A20" s="69" t="s">
        <v>329</v>
      </c>
      <c r="B20" s="71">
        <f t="shared" ref="B20:G20" si="0">SUM(B17:B19)</f>
        <v>2336619.64</v>
      </c>
      <c r="C20" s="80">
        <f t="shared" si="0"/>
        <v>198347.1</v>
      </c>
      <c r="D20" s="80">
        <f t="shared" si="0"/>
        <v>39.69</v>
      </c>
      <c r="E20" s="71">
        <f t="shared" si="0"/>
        <v>335544.75</v>
      </c>
      <c r="F20" s="71">
        <f t="shared" si="0"/>
        <v>1802688.0999999999</v>
      </c>
      <c r="G20" s="72">
        <f t="shared" si="0"/>
        <v>1</v>
      </c>
    </row>
    <row r="23" spans="1:13" x14ac:dyDescent="0.25">
      <c r="A23" s="74" t="s">
        <v>370</v>
      </c>
    </row>
    <row r="24" spans="1:13" x14ac:dyDescent="0.25">
      <c r="A24" s="820" t="s">
        <v>324</v>
      </c>
      <c r="B24" s="820" t="s">
        <v>327</v>
      </c>
      <c r="C24" s="820" t="s">
        <v>328</v>
      </c>
      <c r="D24" s="820"/>
      <c r="E24" s="820"/>
      <c r="F24" s="820"/>
      <c r="G24" s="820" t="s">
        <v>95</v>
      </c>
      <c r="M24" s="59" t="s">
        <v>74</v>
      </c>
    </row>
    <row r="25" spans="1:13" x14ac:dyDescent="0.25">
      <c r="A25" s="820"/>
      <c r="B25" s="820"/>
      <c r="C25" s="79">
        <v>2020</v>
      </c>
      <c r="D25" s="79">
        <v>2021</v>
      </c>
      <c r="E25" s="69">
        <v>2022</v>
      </c>
      <c r="F25" s="69">
        <v>2023</v>
      </c>
      <c r="G25" s="820"/>
    </row>
    <row r="26" spans="1:13" ht="30" x14ac:dyDescent="0.25">
      <c r="A26" s="70" t="s">
        <v>325</v>
      </c>
      <c r="B26" s="71">
        <f>SUM(C26:F26)</f>
        <v>359330.14999999997</v>
      </c>
      <c r="C26" s="77">
        <v>27101.599999999999</v>
      </c>
      <c r="D26" s="77">
        <v>39.25</v>
      </c>
      <c r="E26" s="61">
        <v>332189.3</v>
      </c>
      <c r="F26" s="61">
        <v>0</v>
      </c>
      <c r="G26" s="73">
        <f>B26/$B$29</f>
        <v>0.16222580153969809</v>
      </c>
    </row>
    <row r="27" spans="1:13" x14ac:dyDescent="0.25">
      <c r="A27" s="70" t="s">
        <v>331</v>
      </c>
      <c r="B27" s="71">
        <f>SUM(C27:F27)</f>
        <v>1831544.4</v>
      </c>
      <c r="C27" s="77">
        <v>46883.18</v>
      </c>
      <c r="D27" s="77">
        <v>0</v>
      </c>
      <c r="E27" s="61">
        <v>0</v>
      </c>
      <c r="F27" s="61">
        <v>1784661.22</v>
      </c>
      <c r="G27" s="73">
        <f>B27/$B$29</f>
        <v>0.82688234857427201</v>
      </c>
    </row>
    <row r="28" spans="1:13" x14ac:dyDescent="0.25">
      <c r="A28" s="70" t="s">
        <v>326</v>
      </c>
      <c r="B28" s="71">
        <f>SUM(C28:F28)</f>
        <v>24125.447469999999</v>
      </c>
      <c r="C28" s="77">
        <v>2742.72</v>
      </c>
      <c r="D28" s="77">
        <v>0.4</v>
      </c>
      <c r="E28" s="61">
        <v>3355.4474700000001</v>
      </c>
      <c r="F28" s="61">
        <v>18026.88</v>
      </c>
      <c r="G28" s="73">
        <f>B28/$B$29</f>
        <v>1.0891849886029968E-2</v>
      </c>
    </row>
    <row r="29" spans="1:13" x14ac:dyDescent="0.25">
      <c r="A29" s="69" t="s">
        <v>329</v>
      </c>
      <c r="B29" s="71">
        <f t="shared" ref="B29:G29" si="1">SUM(B26:B28)</f>
        <v>2214999.9974699998</v>
      </c>
      <c r="C29" s="80">
        <f t="shared" si="1"/>
        <v>76727.5</v>
      </c>
      <c r="D29" s="80">
        <f t="shared" si="1"/>
        <v>39.65</v>
      </c>
      <c r="E29" s="71">
        <f t="shared" si="1"/>
        <v>335544.74747</v>
      </c>
      <c r="F29" s="71">
        <f t="shared" si="1"/>
        <v>1802688.0999999999</v>
      </c>
      <c r="G29" s="72">
        <f t="shared" si="1"/>
        <v>1</v>
      </c>
    </row>
  </sheetData>
  <mergeCells count="13">
    <mergeCell ref="A15:A16"/>
    <mergeCell ref="B15:B16"/>
    <mergeCell ref="C15:F15"/>
    <mergeCell ref="G15:G16"/>
    <mergeCell ref="A24:A25"/>
    <mergeCell ref="B24:B25"/>
    <mergeCell ref="C24:F24"/>
    <mergeCell ref="G24:G25"/>
    <mergeCell ref="F3:G3"/>
    <mergeCell ref="A4:A5"/>
    <mergeCell ref="B4:B5"/>
    <mergeCell ref="G4:G5"/>
    <mergeCell ref="C4:F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6</vt:i4>
      </vt:variant>
    </vt:vector>
  </HeadingPairs>
  <TitlesOfParts>
    <vt:vector size="17" baseType="lpstr">
      <vt:lpstr>целевые показатели</vt:lpstr>
      <vt:lpstr>перечень объектов</vt:lpstr>
      <vt:lpstr>прил.3</vt:lpstr>
      <vt:lpstr>Лист2</vt:lpstr>
      <vt:lpstr>по МК 56</vt:lpstr>
      <vt:lpstr>прил.4 файл не рабочий</vt:lpstr>
      <vt:lpstr>прил.5 файл не рабочий</vt:lpstr>
      <vt:lpstr>ФАКТ 2022</vt:lpstr>
      <vt:lpstr>Лист3</vt:lpstr>
      <vt:lpstr>Лист5</vt:lpstr>
      <vt:lpstr>Лист1</vt:lpstr>
      <vt:lpstr>'целевые показатели'!Заголовки_для_печати</vt:lpstr>
      <vt:lpstr>'перечень объектов'!Область_печати</vt:lpstr>
      <vt:lpstr>прил.3!Область_печати</vt:lpstr>
      <vt:lpstr>'прил.4 файл не рабочий'!Область_печати</vt:lpstr>
      <vt:lpstr>'прил.5 файл не рабочий'!Область_печати</vt:lpstr>
      <vt:lpstr>'целевые показатели'!Область_печати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2024-08-07T09:17:55Z</dcterms:modified>
</cp:coreProperties>
</file>