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0" yWindow="0" windowWidth="8400" windowHeight="10365" activeTab="1"/>
  </bookViews>
  <sheets>
    <sheet name="целевые показатели" sheetId="1" r:id="rId1"/>
    <sheet name="перечень объектов" sheetId="2" r:id="rId2"/>
    <sheet name="прил.3" sheetId="3" r:id="rId3"/>
    <sheet name="Лист2" sheetId="15" r:id="rId4"/>
    <sheet name="по МК 56" sheetId="14" r:id="rId5"/>
    <sheet name="прил.4 файл не рабочий" sheetId="4" r:id="rId6"/>
    <sheet name="прил.5 файл не рабочий" sheetId="5" r:id="rId7"/>
    <sheet name="ФАКТ 2022" sheetId="8" r:id="rId8"/>
    <sheet name="Лист3" sheetId="9" r:id="rId9"/>
    <sheet name="Лист5" sheetId="11" r:id="rId10"/>
    <sheet name="Лист1" sheetId="12" r:id="rId11"/>
  </sheets>
  <definedNames>
    <definedName name="_xlnm.Print_Titles" localSheetId="0">'целевые показатели'!$15:$17</definedName>
    <definedName name="_xlnm.Print_Area" localSheetId="1">'перечень объектов'!$A$1:$G$493</definedName>
    <definedName name="_xlnm.Print_Area" localSheetId="2">прил.3!$A$1:$I$29</definedName>
    <definedName name="_xlnm.Print_Area" localSheetId="5">'прил.4 файл не рабочий'!$A$1:$D$19</definedName>
    <definedName name="_xlnm.Print_Area" localSheetId="6">'прил.5 файл не рабочий'!$A$1:$J$34</definedName>
    <definedName name="_xlnm.Print_Area" localSheetId="0">'целевые показатели'!$A$1:$M$409</definedName>
  </definedNames>
  <calcPr calcId="145621"/>
</workbook>
</file>

<file path=xl/calcChain.xml><?xml version="1.0" encoding="utf-8"?>
<calcChain xmlns="http://schemas.openxmlformats.org/spreadsheetml/2006/main">
  <c r="K150" i="1" l="1"/>
  <c r="N165" i="1"/>
  <c r="O165" i="1" s="1"/>
  <c r="P165" i="1" s="1"/>
  <c r="C268" i="2"/>
  <c r="F372" i="2"/>
  <c r="G372" i="2" s="1"/>
  <c r="C250" i="2"/>
  <c r="K27" i="1"/>
  <c r="C237" i="2" l="1"/>
  <c r="C255" i="2"/>
  <c r="K28" i="1"/>
  <c r="F325" i="1" l="1"/>
  <c r="F324" i="1"/>
  <c r="F322" i="1"/>
  <c r="F320" i="1"/>
  <c r="F321" i="1"/>
  <c r="F319" i="1"/>
  <c r="F323" i="1"/>
  <c r="F327" i="1"/>
  <c r="L325" i="1"/>
  <c r="H325" i="1" s="1"/>
  <c r="L324" i="1"/>
  <c r="H324" i="1" s="1"/>
  <c r="L323" i="1"/>
  <c r="H323" i="1" s="1"/>
  <c r="L322" i="1"/>
  <c r="H322" i="1" s="1"/>
  <c r="L321" i="1"/>
  <c r="H321" i="1" s="1"/>
  <c r="L320" i="1"/>
  <c r="H320" i="1" s="1"/>
  <c r="L319" i="1"/>
  <c r="H319" i="1" s="1"/>
  <c r="B322" i="1"/>
  <c r="B321" i="1"/>
  <c r="B320" i="1"/>
  <c r="B319" i="1"/>
  <c r="G366" i="2"/>
  <c r="G367" i="2"/>
  <c r="G368" i="2"/>
  <c r="G365" i="2"/>
  <c r="B325" i="1"/>
  <c r="B324" i="1"/>
  <c r="B323" i="1"/>
  <c r="G371" i="2"/>
  <c r="G370" i="2"/>
  <c r="G369" i="2"/>
  <c r="E369" i="2"/>
  <c r="D369" i="2"/>
  <c r="F375" i="2" l="1"/>
  <c r="C373" i="2"/>
  <c r="G373" i="2" s="1"/>
  <c r="C269" i="2"/>
  <c r="G245" i="2"/>
  <c r="L252" i="1" l="1"/>
  <c r="L327" i="1"/>
  <c r="H327" i="1" s="1"/>
  <c r="L326" i="1"/>
  <c r="H326" i="1" s="1"/>
  <c r="B327" i="1"/>
  <c r="B326" i="1"/>
  <c r="B254" i="1"/>
  <c r="C376" i="2"/>
  <c r="L254" i="1" s="1"/>
  <c r="G269" i="2"/>
  <c r="K154" i="1"/>
  <c r="H154" i="1" s="1"/>
  <c r="B154" i="1"/>
  <c r="B268" i="2"/>
  <c r="G375" i="2"/>
  <c r="G374" i="2"/>
  <c r="F254" i="2"/>
  <c r="G254" i="2" s="1"/>
  <c r="K254" i="1" l="1"/>
  <c r="G376" i="2"/>
  <c r="F251" i="2" l="1"/>
  <c r="H150" i="1" s="1"/>
  <c r="B150" i="1"/>
  <c r="B69" i="1"/>
  <c r="K253" i="1"/>
  <c r="K129" i="1"/>
  <c r="H129" i="1" s="1"/>
  <c r="B129" i="1"/>
  <c r="K128" i="1"/>
  <c r="H128" i="1" s="1"/>
  <c r="B128" i="1"/>
  <c r="G244" i="2"/>
  <c r="G251" i="2" l="1"/>
  <c r="L27" i="1"/>
  <c r="L28" i="1"/>
  <c r="C226" i="2"/>
  <c r="F226" i="2" s="1"/>
  <c r="K30" i="1" l="1"/>
  <c r="C28" i="2"/>
  <c r="F28" i="2" l="1"/>
  <c r="G28" i="2" s="1"/>
  <c r="F250" i="2" l="1"/>
  <c r="M398" i="1" l="1"/>
  <c r="M241" i="1" l="1"/>
  <c r="F458" i="2"/>
  <c r="L41" i="1"/>
  <c r="K152" i="1"/>
  <c r="K151" i="1" l="1"/>
  <c r="H151" i="1" s="1"/>
  <c r="B152" i="1"/>
  <c r="B151" i="1"/>
  <c r="L68" i="1" l="1"/>
  <c r="H68" i="1" s="1"/>
  <c r="B68" i="1"/>
  <c r="B67" i="1"/>
  <c r="F350" i="2"/>
  <c r="G350" i="2" s="1"/>
  <c r="F252" i="2"/>
  <c r="G252" i="2" s="1"/>
  <c r="K153" i="1" l="1"/>
  <c r="K148" i="1"/>
  <c r="H148" i="1" s="1"/>
  <c r="K74" i="1"/>
  <c r="F249" i="2"/>
  <c r="G249" i="2" s="1"/>
  <c r="K72" i="1"/>
  <c r="K71" i="1"/>
  <c r="K70" i="1"/>
  <c r="K69" i="1"/>
  <c r="K67" i="1"/>
  <c r="K63" i="1"/>
  <c r="K62" i="1"/>
  <c r="K61" i="1"/>
  <c r="K131" i="1"/>
  <c r="K33" i="1"/>
  <c r="K149" i="1" l="1"/>
  <c r="C274" i="2" l="1"/>
  <c r="F274" i="2" s="1"/>
  <c r="G274" i="2" s="1"/>
  <c r="E38" i="14" l="1"/>
  <c r="K287" i="1"/>
  <c r="C300" i="2" s="1"/>
  <c r="F300" i="2" s="1"/>
  <c r="L377" i="1"/>
  <c r="C426" i="2" s="1"/>
  <c r="E124" i="14"/>
  <c r="G300" i="2" l="1"/>
  <c r="G307" i="1"/>
  <c r="C275" i="2" l="1"/>
  <c r="K262" i="1" s="1"/>
  <c r="H262" i="1" s="1"/>
  <c r="E131" i="14"/>
  <c r="L384" i="1" s="1"/>
  <c r="C433" i="2" s="1"/>
  <c r="E120" i="14"/>
  <c r="L373" i="1" s="1"/>
  <c r="C422" i="2" s="1"/>
  <c r="F422" i="2" s="1"/>
  <c r="G422" i="2" s="1"/>
  <c r="E117" i="14"/>
  <c r="E114" i="14"/>
  <c r="E102" i="14"/>
  <c r="E96" i="14"/>
  <c r="L349" i="1" s="1"/>
  <c r="E88" i="14"/>
  <c r="L342" i="1" s="1"/>
  <c r="E70" i="14"/>
  <c r="K317" i="1" s="1"/>
  <c r="E56" i="14"/>
  <c r="K304" i="1" s="1"/>
  <c r="C317" i="2" s="1"/>
  <c r="F317" i="2" s="1"/>
  <c r="G317" i="2" s="1"/>
  <c r="E46" i="14"/>
  <c r="K295" i="1" s="1"/>
  <c r="C308" i="2" s="1"/>
  <c r="F308" i="2" s="1"/>
  <c r="G308" i="2" s="1"/>
  <c r="E44" i="14"/>
  <c r="K293" i="1" s="1"/>
  <c r="C306" i="2" s="1"/>
  <c r="E30" i="14"/>
  <c r="H257" i="1"/>
  <c r="H258" i="1"/>
  <c r="C378" i="2" l="1"/>
  <c r="L329" i="1" s="1"/>
  <c r="C331" i="2"/>
  <c r="C377" i="2"/>
  <c r="F377" i="2" l="1"/>
  <c r="L328" i="1"/>
  <c r="K281" i="1"/>
  <c r="E32" i="14"/>
  <c r="E126" i="14"/>
  <c r="L379" i="1" s="1"/>
  <c r="C428" i="2" s="1"/>
  <c r="F428" i="2" s="1"/>
  <c r="G428" i="2" s="1"/>
  <c r="E82" i="14"/>
  <c r="L336" i="1" s="1"/>
  <c r="K278" i="1" l="1"/>
  <c r="K318" i="1"/>
  <c r="K273" i="1"/>
  <c r="G314" i="1"/>
  <c r="C310" i="2" l="1"/>
  <c r="K297" i="1" s="1"/>
  <c r="C327" i="2"/>
  <c r="K314" i="1" s="1"/>
  <c r="C273" i="2"/>
  <c r="C272" i="2"/>
  <c r="C271" i="2"/>
  <c r="C270" i="2"/>
  <c r="P389" i="1" l="1"/>
  <c r="O389" i="1"/>
  <c r="C264" i="2" l="1"/>
  <c r="D457" i="2" l="1"/>
  <c r="E457" i="2"/>
  <c r="O13" i="3" l="1"/>
  <c r="M396" i="1"/>
  <c r="H396" i="1" s="1"/>
  <c r="M395" i="1"/>
  <c r="H395" i="1" s="1"/>
  <c r="M394" i="1"/>
  <c r="H394" i="1" s="1"/>
  <c r="M393" i="1"/>
  <c r="H393" i="1" s="1"/>
  <c r="M392" i="1"/>
  <c r="H392" i="1" s="1"/>
  <c r="M391" i="1"/>
  <c r="H391" i="1" s="1"/>
  <c r="M390" i="1"/>
  <c r="H390" i="1" s="1"/>
  <c r="M389" i="1"/>
  <c r="H389" i="1" s="1"/>
  <c r="B390" i="1" l="1"/>
  <c r="B391" i="1"/>
  <c r="B392" i="1"/>
  <c r="B393" i="1"/>
  <c r="B394" i="1"/>
  <c r="B395" i="1"/>
  <c r="B396" i="1"/>
  <c r="B389" i="1"/>
  <c r="F473" i="2"/>
  <c r="G473" i="2" s="1"/>
  <c r="F472" i="2"/>
  <c r="G472" i="2" s="1"/>
  <c r="B279" i="1"/>
  <c r="B262" i="1"/>
  <c r="F465" i="2"/>
  <c r="F467" i="2"/>
  <c r="G467" i="2" s="1"/>
  <c r="F468" i="2"/>
  <c r="G468" i="2" s="1"/>
  <c r="F469" i="2"/>
  <c r="G469" i="2" s="1"/>
  <c r="F470" i="2"/>
  <c r="G470" i="2" s="1"/>
  <c r="F471" i="2"/>
  <c r="G471" i="2" s="1"/>
  <c r="F466" i="2"/>
  <c r="G466" i="2" s="1"/>
  <c r="K398" i="1" l="1"/>
  <c r="C349" i="2"/>
  <c r="L73" i="1" s="1"/>
  <c r="O74" i="1"/>
  <c r="O75" i="1" s="1"/>
  <c r="C229" i="2"/>
  <c r="K31" i="1"/>
  <c r="C227" i="2" s="1"/>
  <c r="F243" i="2"/>
  <c r="G243" i="2" s="1"/>
  <c r="H74" i="1"/>
  <c r="F74" i="1"/>
  <c r="K195" i="1"/>
  <c r="F158" i="1"/>
  <c r="F235" i="2"/>
  <c r="G235" i="2" s="1"/>
  <c r="F236" i="2"/>
  <c r="G236" i="2" s="1"/>
  <c r="F237" i="2"/>
  <c r="G237" i="2" s="1"/>
  <c r="F238" i="2"/>
  <c r="F239" i="2"/>
  <c r="F240" i="2"/>
  <c r="F241" i="2"/>
  <c r="F253" i="2"/>
  <c r="F242" i="2"/>
  <c r="F255" i="2"/>
  <c r="F246" i="2"/>
  <c r="F73" i="1"/>
  <c r="K60" i="1"/>
  <c r="C346" i="2"/>
  <c r="F346" i="2" s="1"/>
  <c r="G346" i="2" s="1"/>
  <c r="F348" i="2"/>
  <c r="G348" i="2" s="1"/>
  <c r="C347" i="2"/>
  <c r="F347" i="2" s="1"/>
  <c r="G347" i="2" s="1"/>
  <c r="H67" i="1"/>
  <c r="H61" i="1"/>
  <c r="H62" i="1"/>
  <c r="H63" i="1"/>
  <c r="F349" i="2" l="1"/>
  <c r="G349" i="2" s="1"/>
  <c r="G227" i="2"/>
  <c r="H73" i="1"/>
  <c r="L65" i="1"/>
  <c r="D133" i="14" l="1"/>
  <c r="O254" i="1" l="1"/>
  <c r="O253" i="1"/>
  <c r="C219" i="2"/>
  <c r="F220" i="2"/>
  <c r="G220" i="2" s="1"/>
  <c r="H254" i="1"/>
  <c r="G387" i="1"/>
  <c r="G386" i="1"/>
  <c r="F387" i="1"/>
  <c r="F386" i="1"/>
  <c r="M387" i="1"/>
  <c r="H387" i="1" s="1"/>
  <c r="M386" i="1"/>
  <c r="H386" i="1" s="1"/>
  <c r="F256" i="1"/>
  <c r="F255" i="1"/>
  <c r="G256" i="1"/>
  <c r="G255" i="1"/>
  <c r="M256" i="1"/>
  <c r="H256" i="1" s="1"/>
  <c r="M255" i="1"/>
  <c r="H255" i="1" s="1"/>
  <c r="E132" i="14"/>
  <c r="M38" i="1"/>
  <c r="M388" i="1" l="1"/>
  <c r="H388" i="1" s="1"/>
  <c r="F388" i="1"/>
  <c r="G388" i="1"/>
  <c r="I20" i="3" s="1"/>
  <c r="G464" i="2"/>
  <c r="H152" i="1"/>
  <c r="H72" i="1"/>
  <c r="H153" i="1"/>
  <c r="K59" i="1"/>
  <c r="H59" i="1" s="1"/>
  <c r="K58" i="1"/>
  <c r="K41" i="1" l="1"/>
  <c r="H58" i="1"/>
  <c r="H70" i="1" l="1"/>
  <c r="H71" i="1"/>
  <c r="B346" i="2"/>
  <c r="H60" i="1"/>
  <c r="H64" i="1"/>
  <c r="H65" i="1"/>
  <c r="H66" i="1"/>
  <c r="H69" i="1"/>
  <c r="H149" i="1"/>
  <c r="C222" i="2" l="1"/>
  <c r="F222" i="2" s="1"/>
  <c r="C223" i="2" l="1"/>
  <c r="G222" i="2"/>
  <c r="C233" i="2"/>
  <c r="C232" i="2"/>
  <c r="D231" i="2"/>
  <c r="E231" i="2"/>
  <c r="B233" i="2"/>
  <c r="B232" i="2"/>
  <c r="C217" i="2" l="1"/>
  <c r="F217" i="2" s="1"/>
  <c r="F232" i="2"/>
  <c r="F233" i="2"/>
  <c r="G233" i="2" s="1"/>
  <c r="G232" i="2" l="1"/>
  <c r="F272" i="2" l="1"/>
  <c r="G272" i="2" s="1"/>
  <c r="F270" i="2"/>
  <c r="G270" i="2" s="1"/>
  <c r="K34" i="1"/>
  <c r="F275" i="2" l="1"/>
  <c r="G275" i="2" s="1"/>
  <c r="F273" i="2"/>
  <c r="G273" i="2" s="1"/>
  <c r="F271" i="2"/>
  <c r="G271" i="2" s="1"/>
  <c r="O262" i="1" l="1"/>
  <c r="O263" i="1" s="1"/>
  <c r="D216" i="2"/>
  <c r="E216" i="2"/>
  <c r="C230" i="2"/>
  <c r="B230" i="2"/>
  <c r="O159" i="1"/>
  <c r="K238" i="1"/>
  <c r="C266" i="2"/>
  <c r="C265" i="2" s="1"/>
  <c r="D265" i="2"/>
  <c r="E265" i="2"/>
  <c r="F265" i="2"/>
  <c r="G265" i="2"/>
  <c r="B266" i="2"/>
  <c r="B265" i="2"/>
  <c r="D263" i="2"/>
  <c r="E263" i="2"/>
  <c r="F263" i="2"/>
  <c r="G263" i="2"/>
  <c r="D267" i="2"/>
  <c r="E267" i="2"/>
  <c r="C332" i="2"/>
  <c r="G332" i="2" s="1"/>
  <c r="B332" i="2"/>
  <c r="B227" i="2"/>
  <c r="H31" i="1"/>
  <c r="D437" i="2"/>
  <c r="E437" i="2"/>
  <c r="C437" i="2"/>
  <c r="F438" i="2"/>
  <c r="F439" i="2"/>
  <c r="F440" i="2"/>
  <c r="F441" i="2"/>
  <c r="C463" i="2"/>
  <c r="F463" i="2" s="1"/>
  <c r="C462" i="2"/>
  <c r="F462" i="2" s="1"/>
  <c r="B462" i="2"/>
  <c r="B463" i="2"/>
  <c r="G465" i="2"/>
  <c r="C464" i="2"/>
  <c r="F464" i="2" s="1"/>
  <c r="B465" i="2"/>
  <c r="B464" i="2"/>
  <c r="C459" i="2"/>
  <c r="F459" i="2" s="1"/>
  <c r="B474" i="2"/>
  <c r="B460" i="2"/>
  <c r="B461" i="2"/>
  <c r="C201" i="2"/>
  <c r="C202" i="2"/>
  <c r="F202" i="2" s="1"/>
  <c r="G202" i="2" s="1"/>
  <c r="C203" i="2"/>
  <c r="C204" i="2"/>
  <c r="F204" i="2" s="1"/>
  <c r="G204" i="2" s="1"/>
  <c r="C205" i="2"/>
  <c r="C193" i="2"/>
  <c r="D88" i="2"/>
  <c r="E88" i="2"/>
  <c r="F88" i="2"/>
  <c r="G88" i="2"/>
  <c r="F230" i="2" l="1"/>
  <c r="G230" i="2" s="1"/>
  <c r="C263" i="2"/>
  <c r="K230" i="1" s="1"/>
  <c r="F437" i="2"/>
  <c r="C461" i="2"/>
  <c r="F461" i="2" s="1"/>
  <c r="G462" i="2"/>
  <c r="G463" i="2"/>
  <c r="C460" i="2"/>
  <c r="G459" i="2"/>
  <c r="F205" i="2"/>
  <c r="G205" i="2" s="1"/>
  <c r="F203" i="2"/>
  <c r="G203" i="2" s="1"/>
  <c r="F201" i="2"/>
  <c r="G201" i="2" s="1"/>
  <c r="F460" i="2" l="1"/>
  <c r="G460" i="2" s="1"/>
  <c r="G461" i="2"/>
  <c r="B214" i="2"/>
  <c r="B213" i="2"/>
  <c r="G379" i="1"/>
  <c r="F379" i="1" s="1"/>
  <c r="G380" i="1"/>
  <c r="F380" i="1" s="1"/>
  <c r="G381" i="1"/>
  <c r="F381" i="1" s="1"/>
  <c r="G382" i="1"/>
  <c r="F382" i="1" s="1"/>
  <c r="G383" i="1"/>
  <c r="F383" i="1" s="1"/>
  <c r="G384" i="1"/>
  <c r="F384" i="1" s="1"/>
  <c r="G385" i="1"/>
  <c r="F385" i="1" s="1"/>
  <c r="B384" i="1"/>
  <c r="B433" i="2" s="1"/>
  <c r="B385" i="1"/>
  <c r="B434" i="2" s="1"/>
  <c r="B379" i="1"/>
  <c r="B428" i="2" s="1"/>
  <c r="B380" i="1"/>
  <c r="B429" i="2" s="1"/>
  <c r="B381" i="1"/>
  <c r="B430" i="2" s="1"/>
  <c r="B382" i="1"/>
  <c r="B431" i="2" s="1"/>
  <c r="B383" i="1"/>
  <c r="B432" i="2" s="1"/>
  <c r="G368" i="1"/>
  <c r="F368" i="1" s="1"/>
  <c r="G369" i="1"/>
  <c r="F369" i="1" s="1"/>
  <c r="G370" i="1"/>
  <c r="F370" i="1" s="1"/>
  <c r="G371" i="1"/>
  <c r="F371" i="1" s="1"/>
  <c r="G372" i="1"/>
  <c r="F372" i="1" s="1"/>
  <c r="G373" i="1"/>
  <c r="F373" i="1" s="1"/>
  <c r="G374" i="1"/>
  <c r="F374" i="1" s="1"/>
  <c r="G375" i="1"/>
  <c r="F375" i="1" s="1"/>
  <c r="G376" i="1"/>
  <c r="F376" i="1" s="1"/>
  <c r="G377" i="1"/>
  <c r="F377" i="1" s="1"/>
  <c r="G378" i="1"/>
  <c r="F378" i="1" s="1"/>
  <c r="B377" i="1"/>
  <c r="B426" i="2" s="1"/>
  <c r="B378" i="1"/>
  <c r="B427" i="2" s="1"/>
  <c r="B374" i="1"/>
  <c r="B423" i="2" s="1"/>
  <c r="B375" i="1"/>
  <c r="B424" i="2" s="1"/>
  <c r="B376" i="1"/>
  <c r="B425" i="2" s="1"/>
  <c r="B368" i="1"/>
  <c r="B417" i="2" s="1"/>
  <c r="B369" i="1"/>
  <c r="B418" i="2" s="1"/>
  <c r="B370" i="1"/>
  <c r="B419" i="2" s="1"/>
  <c r="B371" i="1"/>
  <c r="B420" i="2" s="1"/>
  <c r="B372" i="1"/>
  <c r="B421" i="2" s="1"/>
  <c r="B373" i="1"/>
  <c r="B422" i="2" s="1"/>
  <c r="G356" i="1"/>
  <c r="F356" i="1" s="1"/>
  <c r="G357" i="1"/>
  <c r="F357" i="1" s="1"/>
  <c r="G358" i="1"/>
  <c r="F358" i="1" s="1"/>
  <c r="G359" i="1"/>
  <c r="F359" i="1" s="1"/>
  <c r="G360" i="1"/>
  <c r="F360" i="1" s="1"/>
  <c r="G361" i="1"/>
  <c r="F361" i="1" s="1"/>
  <c r="G362" i="1"/>
  <c r="F362" i="1" s="1"/>
  <c r="G363" i="1"/>
  <c r="F363" i="1" s="1"/>
  <c r="G364" i="1"/>
  <c r="F364" i="1" s="1"/>
  <c r="G365" i="1"/>
  <c r="F365" i="1" s="1"/>
  <c r="G366" i="1"/>
  <c r="F366" i="1" s="1"/>
  <c r="G367" i="1"/>
  <c r="F367" i="1" s="1"/>
  <c r="B363" i="1"/>
  <c r="B412" i="2" s="1"/>
  <c r="B364" i="1"/>
  <c r="B413" i="2" s="1"/>
  <c r="B365" i="1"/>
  <c r="B414" i="2" s="1"/>
  <c r="B366" i="1"/>
  <c r="B415" i="2" s="1"/>
  <c r="B367" i="1"/>
  <c r="B416" i="2" s="1"/>
  <c r="B360" i="1"/>
  <c r="B409" i="2" s="1"/>
  <c r="B361" i="1"/>
  <c r="B410" i="2" s="1"/>
  <c r="B362" i="1"/>
  <c r="B411" i="2" s="1"/>
  <c r="B356" i="1"/>
  <c r="B405" i="2" s="1"/>
  <c r="B357" i="1"/>
  <c r="B406" i="2" s="1"/>
  <c r="B358" i="1"/>
  <c r="B407" i="2" s="1"/>
  <c r="B359" i="1"/>
  <c r="B408" i="2" s="1"/>
  <c r="G346" i="1"/>
  <c r="F346" i="1" s="1"/>
  <c r="G347" i="1"/>
  <c r="F347" i="1" s="1"/>
  <c r="G348" i="1"/>
  <c r="F348" i="1" s="1"/>
  <c r="G349" i="1"/>
  <c r="F349" i="1" s="1"/>
  <c r="G350" i="1"/>
  <c r="F350" i="1" s="1"/>
  <c r="G351" i="1"/>
  <c r="F351" i="1" s="1"/>
  <c r="G352" i="1"/>
  <c r="F352" i="1" s="1"/>
  <c r="G353" i="1"/>
  <c r="F353" i="1" s="1"/>
  <c r="G354" i="1"/>
  <c r="F354" i="1" s="1"/>
  <c r="G355" i="1"/>
  <c r="F355" i="1" s="1"/>
  <c r="B350" i="1"/>
  <c r="B399" i="2" s="1"/>
  <c r="B351" i="1"/>
  <c r="B400" i="2" s="1"/>
  <c r="B352" i="1"/>
  <c r="B401" i="2" s="1"/>
  <c r="B353" i="1"/>
  <c r="B402" i="2" s="1"/>
  <c r="B354" i="1"/>
  <c r="B403" i="2" s="1"/>
  <c r="B355" i="1"/>
  <c r="B404" i="2" s="1"/>
  <c r="B346" i="1"/>
  <c r="B395" i="2" s="1"/>
  <c r="B347" i="1"/>
  <c r="B396" i="2" s="1"/>
  <c r="B348" i="1"/>
  <c r="B397" i="2" s="1"/>
  <c r="B349" i="1"/>
  <c r="B398" i="2" s="1"/>
  <c r="G339" i="1"/>
  <c r="F339" i="1" s="1"/>
  <c r="G340" i="1"/>
  <c r="F340" i="1" s="1"/>
  <c r="G341" i="1"/>
  <c r="F341" i="1" s="1"/>
  <c r="G342" i="1"/>
  <c r="F342" i="1" s="1"/>
  <c r="G343" i="1"/>
  <c r="F343" i="1" s="1"/>
  <c r="G344" i="1"/>
  <c r="F344" i="1" s="1"/>
  <c r="G345" i="1"/>
  <c r="F345" i="1" s="1"/>
  <c r="B339" i="1"/>
  <c r="B388" i="2" s="1"/>
  <c r="B340" i="1"/>
  <c r="B389" i="2" s="1"/>
  <c r="B341" i="1"/>
  <c r="B390" i="2" s="1"/>
  <c r="B342" i="1"/>
  <c r="B391" i="2" s="1"/>
  <c r="B343" i="1"/>
  <c r="B392" i="2" s="1"/>
  <c r="B344" i="1"/>
  <c r="B393" i="2" s="1"/>
  <c r="B345" i="1"/>
  <c r="B394" i="2" s="1"/>
  <c r="G329" i="1"/>
  <c r="F329" i="1" s="1"/>
  <c r="G330" i="1"/>
  <c r="F330" i="1" s="1"/>
  <c r="G331" i="1"/>
  <c r="F331" i="1" s="1"/>
  <c r="F332" i="1"/>
  <c r="G333" i="1"/>
  <c r="F333" i="1" s="1"/>
  <c r="G334" i="1"/>
  <c r="F334" i="1" s="1"/>
  <c r="G335" i="1"/>
  <c r="F335" i="1" s="1"/>
  <c r="G336" i="1"/>
  <c r="F336" i="1" s="1"/>
  <c r="G337" i="1"/>
  <c r="F337" i="1" s="1"/>
  <c r="G338" i="1"/>
  <c r="F338" i="1" s="1"/>
  <c r="G328" i="1"/>
  <c r="B330" i="1"/>
  <c r="B379" i="2" s="1"/>
  <c r="B331" i="1"/>
  <c r="B380" i="2" s="1"/>
  <c r="B332" i="1"/>
  <c r="B381" i="2" s="1"/>
  <c r="B333" i="1"/>
  <c r="B382" i="2" s="1"/>
  <c r="B334" i="1"/>
  <c r="B383" i="2" s="1"/>
  <c r="B335" i="1"/>
  <c r="B384" i="2" s="1"/>
  <c r="B336" i="1"/>
  <c r="B385" i="2" s="1"/>
  <c r="B337" i="1"/>
  <c r="B386" i="2" s="1"/>
  <c r="B338" i="1"/>
  <c r="B387" i="2" s="1"/>
  <c r="G264" i="1"/>
  <c r="F264" i="1" s="1"/>
  <c r="F265" i="1"/>
  <c r="G266" i="1"/>
  <c r="F266" i="1" s="1"/>
  <c r="G267" i="1"/>
  <c r="F267" i="1" s="1"/>
  <c r="G268" i="1"/>
  <c r="F268" i="1" s="1"/>
  <c r="F269" i="1"/>
  <c r="G270" i="1"/>
  <c r="F270" i="1" s="1"/>
  <c r="G271" i="1"/>
  <c r="F271" i="1" s="1"/>
  <c r="F272" i="1"/>
  <c r="F273" i="1"/>
  <c r="F274" i="1"/>
  <c r="F275" i="1"/>
  <c r="G276" i="1"/>
  <c r="F276" i="1" s="1"/>
  <c r="F277" i="1"/>
  <c r="F278" i="1"/>
  <c r="G279" i="1"/>
  <c r="F279" i="1" s="1"/>
  <c r="F280" i="1"/>
  <c r="G281" i="1"/>
  <c r="F281" i="1" s="1"/>
  <c r="G282" i="1"/>
  <c r="F282" i="1" s="1"/>
  <c r="G283" i="1"/>
  <c r="F283" i="1" s="1"/>
  <c r="G284" i="1"/>
  <c r="F284" i="1" s="1"/>
  <c r="G285" i="1"/>
  <c r="F285" i="1" s="1"/>
  <c r="F286" i="1"/>
  <c r="G287" i="1"/>
  <c r="F287" i="1" s="1"/>
  <c r="G288" i="1"/>
  <c r="F288" i="1" s="1"/>
  <c r="G289" i="1"/>
  <c r="F289" i="1" s="1"/>
  <c r="F290" i="1"/>
  <c r="G291" i="1"/>
  <c r="F291" i="1" s="1"/>
  <c r="G292" i="1"/>
  <c r="F292" i="1" s="1"/>
  <c r="F293" i="1"/>
  <c r="G294" i="1"/>
  <c r="F294" i="1" s="1"/>
  <c r="G295" i="1"/>
  <c r="F295" i="1" s="1"/>
  <c r="G296" i="1"/>
  <c r="F296" i="1" s="1"/>
  <c r="F297" i="1"/>
  <c r="F298" i="1"/>
  <c r="G299" i="1"/>
  <c r="F299" i="1" s="1"/>
  <c r="F300" i="1"/>
  <c r="G301" i="1"/>
  <c r="F301" i="1" s="1"/>
  <c r="G302" i="1"/>
  <c r="F302" i="1" s="1"/>
  <c r="F303" i="1"/>
  <c r="G304" i="1"/>
  <c r="F304" i="1" s="1"/>
  <c r="F305" i="1"/>
  <c r="F306" i="1"/>
  <c r="F307" i="1"/>
  <c r="F308" i="1"/>
  <c r="F309" i="1"/>
  <c r="G310" i="1"/>
  <c r="F310" i="1" s="1"/>
  <c r="G311" i="1"/>
  <c r="F311" i="1" s="1"/>
  <c r="G312" i="1"/>
  <c r="F312" i="1" s="1"/>
  <c r="G313" i="1"/>
  <c r="F313" i="1" s="1"/>
  <c r="F314" i="1"/>
  <c r="F315" i="1"/>
  <c r="F316" i="1"/>
  <c r="F317" i="1"/>
  <c r="G318" i="1"/>
  <c r="F318" i="1" s="1"/>
  <c r="B315" i="1"/>
  <c r="B328" i="2" s="1"/>
  <c r="B316" i="1"/>
  <c r="B329" i="2" s="1"/>
  <c r="B317" i="1"/>
  <c r="B330" i="2" s="1"/>
  <c r="B318" i="1"/>
  <c r="B331" i="2" s="1"/>
  <c r="B328" i="1"/>
  <c r="B377" i="2" s="1"/>
  <c r="B329" i="1"/>
  <c r="B378" i="2" s="1"/>
  <c r="B304" i="1"/>
  <c r="B317" i="2" s="1"/>
  <c r="B305" i="1"/>
  <c r="B318" i="2" s="1"/>
  <c r="B306" i="1"/>
  <c r="B319" i="2" s="1"/>
  <c r="B307" i="1"/>
  <c r="B320" i="2" s="1"/>
  <c r="B308" i="1"/>
  <c r="B321" i="2" s="1"/>
  <c r="B309" i="1"/>
  <c r="B322" i="2" s="1"/>
  <c r="B310" i="1"/>
  <c r="B323" i="2" s="1"/>
  <c r="B311" i="1"/>
  <c r="B324" i="2" s="1"/>
  <c r="B312" i="1"/>
  <c r="B325" i="2" s="1"/>
  <c r="B313" i="1"/>
  <c r="B326" i="2" s="1"/>
  <c r="B314" i="1"/>
  <c r="B327" i="2" s="1"/>
  <c r="B298" i="1"/>
  <c r="B311" i="2" s="1"/>
  <c r="B299" i="1"/>
  <c r="B312" i="2" s="1"/>
  <c r="B300" i="1"/>
  <c r="B313" i="2" s="1"/>
  <c r="B301" i="1"/>
  <c r="B314" i="2" s="1"/>
  <c r="B302" i="1"/>
  <c r="B315" i="2" s="1"/>
  <c r="B303" i="1"/>
  <c r="B316" i="2" s="1"/>
  <c r="B295" i="1"/>
  <c r="B308" i="2" s="1"/>
  <c r="B296" i="1"/>
  <c r="B309" i="2" s="1"/>
  <c r="B297" i="1"/>
  <c r="B310" i="2" s="1"/>
  <c r="B289" i="1"/>
  <c r="B302" i="2" s="1"/>
  <c r="B290" i="1"/>
  <c r="B303" i="2" s="1"/>
  <c r="B291" i="1"/>
  <c r="B304" i="2" s="1"/>
  <c r="B292" i="1"/>
  <c r="B305" i="2" s="1"/>
  <c r="B293" i="1"/>
  <c r="B306" i="2" s="1"/>
  <c r="B294" i="1"/>
  <c r="B307" i="2" s="1"/>
  <c r="B283" i="1"/>
  <c r="B296" i="2" s="1"/>
  <c r="B284" i="1"/>
  <c r="B297" i="2" s="1"/>
  <c r="B285" i="1"/>
  <c r="B298" i="2" s="1"/>
  <c r="B286" i="1"/>
  <c r="B299" i="2" s="1"/>
  <c r="B287" i="1"/>
  <c r="B300" i="2" s="1"/>
  <c r="B288" i="1"/>
  <c r="B301" i="2" s="1"/>
  <c r="B275" i="1"/>
  <c r="B288" i="2" s="1"/>
  <c r="B276" i="1"/>
  <c r="B289" i="2" s="1"/>
  <c r="B277" i="1"/>
  <c r="B290" i="2" s="1"/>
  <c r="B278" i="1"/>
  <c r="B291" i="2" s="1"/>
  <c r="B292" i="2"/>
  <c r="B280" i="1"/>
  <c r="B293" i="2" s="1"/>
  <c r="B281" i="1"/>
  <c r="B294" i="2" s="1"/>
  <c r="B282" i="1"/>
  <c r="B295" i="2" s="1"/>
  <c r="B264" i="1"/>
  <c r="B277" i="2" s="1"/>
  <c r="B265" i="1"/>
  <c r="B278" i="2" s="1"/>
  <c r="B266" i="1"/>
  <c r="B279" i="2" s="1"/>
  <c r="B267" i="1"/>
  <c r="B280" i="2" s="1"/>
  <c r="B268" i="1"/>
  <c r="B281" i="2" s="1"/>
  <c r="B269" i="1"/>
  <c r="B282" i="2" s="1"/>
  <c r="B270" i="1"/>
  <c r="B283" i="2" s="1"/>
  <c r="B271" i="1"/>
  <c r="B284" i="2" s="1"/>
  <c r="B272" i="1"/>
  <c r="B285" i="2" s="1"/>
  <c r="B273" i="1"/>
  <c r="B286" i="2" s="1"/>
  <c r="B274" i="1"/>
  <c r="B287" i="2" s="1"/>
  <c r="B263" i="1"/>
  <c r="B276" i="2" s="1"/>
  <c r="C208" i="2"/>
  <c r="H259" i="1"/>
  <c r="H260" i="1"/>
  <c r="H261" i="1"/>
  <c r="F258" i="1"/>
  <c r="F259" i="1"/>
  <c r="G260" i="1"/>
  <c r="F260" i="1" s="1"/>
  <c r="G261" i="1"/>
  <c r="F261" i="1" s="1"/>
  <c r="F262" i="1"/>
  <c r="G257" i="1"/>
  <c r="F257" i="1" s="1"/>
  <c r="B261" i="1"/>
  <c r="B258" i="1"/>
  <c r="B259" i="1"/>
  <c r="B260" i="1"/>
  <c r="B257" i="1"/>
  <c r="D262" i="2"/>
  <c r="C260" i="2"/>
  <c r="H20" i="3" l="1"/>
  <c r="B210" i="2"/>
  <c r="B273" i="2"/>
  <c r="B208" i="2"/>
  <c r="B271" i="2"/>
  <c r="B211" i="2"/>
  <c r="B274" i="2"/>
  <c r="B207" i="2"/>
  <c r="B270" i="2"/>
  <c r="B209" i="2"/>
  <c r="B272" i="2"/>
  <c r="B275" i="2"/>
  <c r="F263" i="1"/>
  <c r="F328" i="1"/>
  <c r="C207" i="2"/>
  <c r="F207" i="2" s="1"/>
  <c r="G207" i="2" s="1"/>
  <c r="C211" i="2"/>
  <c r="F211" i="2" s="1"/>
  <c r="G211" i="2" s="1"/>
  <c r="C209" i="2"/>
  <c r="F209" i="2" s="1"/>
  <c r="G209" i="2" s="1"/>
  <c r="C212" i="2"/>
  <c r="F212" i="2" s="1"/>
  <c r="G212" i="2" s="1"/>
  <c r="C210" i="2"/>
  <c r="F210" i="2" s="1"/>
  <c r="G210" i="2" s="1"/>
  <c r="F208" i="2"/>
  <c r="G208" i="2" s="1"/>
  <c r="D72" i="14"/>
  <c r="E20" i="14"/>
  <c r="K269" i="1" s="1"/>
  <c r="E24" i="14"/>
  <c r="F286" i="2" s="1"/>
  <c r="G286" i="2" s="1"/>
  <c r="L385" i="1"/>
  <c r="C434" i="2" s="1"/>
  <c r="F434" i="2" s="1"/>
  <c r="G434" i="2" s="1"/>
  <c r="E130" i="14"/>
  <c r="L383" i="1" s="1"/>
  <c r="C432" i="2" s="1"/>
  <c r="F432" i="2" s="1"/>
  <c r="G432" i="2" s="1"/>
  <c r="E129" i="14"/>
  <c r="L382" i="1" s="1"/>
  <c r="C431" i="2" s="1"/>
  <c r="F431" i="2" s="1"/>
  <c r="G431" i="2" s="1"/>
  <c r="E128" i="14"/>
  <c r="L381" i="1" s="1"/>
  <c r="C430" i="2" s="1"/>
  <c r="F430" i="2" s="1"/>
  <c r="G430" i="2" s="1"/>
  <c r="E127" i="14"/>
  <c r="L380" i="1" s="1"/>
  <c r="C429" i="2" s="1"/>
  <c r="E125" i="14"/>
  <c r="L378" i="1" s="1"/>
  <c r="C427" i="2" s="1"/>
  <c r="F427" i="2" s="1"/>
  <c r="G427" i="2" s="1"/>
  <c r="F426" i="2"/>
  <c r="G426" i="2" s="1"/>
  <c r="E123" i="14"/>
  <c r="L376" i="1" s="1"/>
  <c r="C425" i="2" s="1"/>
  <c r="E122" i="14"/>
  <c r="L375" i="1" s="1"/>
  <c r="C424" i="2" s="1"/>
  <c r="F424" i="2" s="1"/>
  <c r="G424" i="2" s="1"/>
  <c r="E121" i="14"/>
  <c r="L374" i="1" s="1"/>
  <c r="C423" i="2" s="1"/>
  <c r="F423" i="2" s="1"/>
  <c r="G423" i="2" s="1"/>
  <c r="E119" i="14"/>
  <c r="L372" i="1" s="1"/>
  <c r="H372" i="1" s="1"/>
  <c r="E118" i="14"/>
  <c r="L371" i="1" s="1"/>
  <c r="C420" i="2" s="1"/>
  <c r="F420" i="2" s="1"/>
  <c r="G420" i="2" s="1"/>
  <c r="L370" i="1"/>
  <c r="H370" i="1" s="1"/>
  <c r="E116" i="14"/>
  <c r="L369" i="1" s="1"/>
  <c r="C418" i="2" s="1"/>
  <c r="F418" i="2" s="1"/>
  <c r="G418" i="2" s="1"/>
  <c r="E115" i="14"/>
  <c r="L368" i="1" s="1"/>
  <c r="H368" i="1" s="1"/>
  <c r="L367" i="1"/>
  <c r="C416" i="2" s="1"/>
  <c r="E113" i="14"/>
  <c r="L366" i="1" s="1"/>
  <c r="H366" i="1" s="1"/>
  <c r="E112" i="14"/>
  <c r="L365" i="1" s="1"/>
  <c r="C414" i="2" s="1"/>
  <c r="F414" i="2" s="1"/>
  <c r="G414" i="2" s="1"/>
  <c r="E111" i="14"/>
  <c r="L364" i="1" s="1"/>
  <c r="H364" i="1" s="1"/>
  <c r="E110" i="14"/>
  <c r="L363" i="1" s="1"/>
  <c r="C412" i="2" s="1"/>
  <c r="F412" i="2" s="1"/>
  <c r="G412" i="2" s="1"/>
  <c r="E109" i="14"/>
  <c r="L362" i="1" s="1"/>
  <c r="H362" i="1" s="1"/>
  <c r="E108" i="14"/>
  <c r="L361" i="1" s="1"/>
  <c r="C410" i="2" s="1"/>
  <c r="F410" i="2" s="1"/>
  <c r="G410" i="2" s="1"/>
  <c r="E107" i="14"/>
  <c r="L360" i="1" s="1"/>
  <c r="H360" i="1" s="1"/>
  <c r="E106" i="14"/>
  <c r="L359" i="1" s="1"/>
  <c r="C408" i="2" s="1"/>
  <c r="F408" i="2" s="1"/>
  <c r="G408" i="2" s="1"/>
  <c r="E105" i="14"/>
  <c r="L358" i="1" s="1"/>
  <c r="H358" i="1" s="1"/>
  <c r="E104" i="14"/>
  <c r="L357" i="1" s="1"/>
  <c r="C406" i="2" s="1"/>
  <c r="F406" i="2" s="1"/>
  <c r="G406" i="2" s="1"/>
  <c r="E103" i="14"/>
  <c r="L356" i="1" s="1"/>
  <c r="H356" i="1" s="1"/>
  <c r="L355" i="1"/>
  <c r="C404" i="2" s="1"/>
  <c r="E101" i="14"/>
  <c r="L354" i="1" s="1"/>
  <c r="H354" i="1" s="1"/>
  <c r="E100" i="14"/>
  <c r="L353" i="1" s="1"/>
  <c r="C402" i="2" s="1"/>
  <c r="F402" i="2" s="1"/>
  <c r="G402" i="2" s="1"/>
  <c r="E99" i="14"/>
  <c r="L352" i="1" s="1"/>
  <c r="H352" i="1" s="1"/>
  <c r="E98" i="14"/>
  <c r="L351" i="1" s="1"/>
  <c r="C400" i="2" s="1"/>
  <c r="F400" i="2" s="1"/>
  <c r="G400" i="2" s="1"/>
  <c r="E97" i="14"/>
  <c r="L350" i="1" s="1"/>
  <c r="C399" i="2" s="1"/>
  <c r="F399" i="2" s="1"/>
  <c r="G399" i="2" s="1"/>
  <c r="C398" i="2"/>
  <c r="E95" i="14"/>
  <c r="L348" i="1" s="1"/>
  <c r="C397" i="2" s="1"/>
  <c r="E94" i="14"/>
  <c r="L347" i="1" s="1"/>
  <c r="C396" i="2" s="1"/>
  <c r="F396" i="2" s="1"/>
  <c r="G396" i="2" s="1"/>
  <c r="E92" i="14"/>
  <c r="L346" i="1" s="1"/>
  <c r="C395" i="2" s="1"/>
  <c r="F395" i="2" s="1"/>
  <c r="G395" i="2" s="1"/>
  <c r="E91" i="14"/>
  <c r="L345" i="1" s="1"/>
  <c r="C394" i="2" s="1"/>
  <c r="E90" i="14"/>
  <c r="L344" i="1" s="1"/>
  <c r="C393" i="2" s="1"/>
  <c r="F393" i="2" s="1"/>
  <c r="G393" i="2" s="1"/>
  <c r="E89" i="14"/>
  <c r="L343" i="1" s="1"/>
  <c r="C392" i="2" s="1"/>
  <c r="F392" i="2" s="1"/>
  <c r="G392" i="2" s="1"/>
  <c r="C391" i="2"/>
  <c r="E87" i="14"/>
  <c r="L341" i="1" s="1"/>
  <c r="C390" i="2" s="1"/>
  <c r="E86" i="14"/>
  <c r="L340" i="1" s="1"/>
  <c r="C389" i="2" s="1"/>
  <c r="F389" i="2" s="1"/>
  <c r="G389" i="2" s="1"/>
  <c r="E85" i="14"/>
  <c r="L339" i="1" s="1"/>
  <c r="C388" i="2" s="1"/>
  <c r="F388" i="2" s="1"/>
  <c r="G388" i="2" s="1"/>
  <c r="E84" i="14"/>
  <c r="L338" i="1" s="1"/>
  <c r="C387" i="2" s="1"/>
  <c r="F387" i="2" s="1"/>
  <c r="G387" i="2" s="1"/>
  <c r="E83" i="14"/>
  <c r="L337" i="1" s="1"/>
  <c r="C386" i="2" s="1"/>
  <c r="C385" i="2"/>
  <c r="E81" i="14"/>
  <c r="L335" i="1" s="1"/>
  <c r="C384" i="2" s="1"/>
  <c r="F384" i="2" s="1"/>
  <c r="G384" i="2" s="1"/>
  <c r="E80" i="14"/>
  <c r="L334" i="1" s="1"/>
  <c r="C383" i="2" s="1"/>
  <c r="F383" i="2" s="1"/>
  <c r="G383" i="2" s="1"/>
  <c r="E79" i="14"/>
  <c r="L333" i="1" s="1"/>
  <c r="C382" i="2" s="1"/>
  <c r="E78" i="14"/>
  <c r="L332" i="1" s="1"/>
  <c r="C381" i="2" s="1"/>
  <c r="F381" i="2" s="1"/>
  <c r="G381" i="2" s="1"/>
  <c r="E77" i="14"/>
  <c r="L331" i="1" s="1"/>
  <c r="C380" i="2" s="1"/>
  <c r="F380" i="2" s="1"/>
  <c r="G380" i="2" s="1"/>
  <c r="E76" i="14"/>
  <c r="E71" i="14"/>
  <c r="E69" i="14"/>
  <c r="K316" i="1" s="1"/>
  <c r="C329" i="2" s="1"/>
  <c r="F329" i="2" s="1"/>
  <c r="G329" i="2" s="1"/>
  <c r="E68" i="14"/>
  <c r="K315" i="1" s="1"/>
  <c r="C328" i="2" s="1"/>
  <c r="E67" i="14"/>
  <c r="E66" i="14"/>
  <c r="E65" i="14"/>
  <c r="K313" i="1" s="1"/>
  <c r="C326" i="2" s="1"/>
  <c r="F326" i="2" s="1"/>
  <c r="G326" i="2" s="1"/>
  <c r="E64" i="14"/>
  <c r="K312" i="1" s="1"/>
  <c r="C325" i="2" s="1"/>
  <c r="E63" i="14"/>
  <c r="K311" i="1" s="1"/>
  <c r="C324" i="2" s="1"/>
  <c r="F324" i="2" s="1"/>
  <c r="G324" i="2" s="1"/>
  <c r="E62" i="14"/>
  <c r="K310" i="1" s="1"/>
  <c r="C323" i="2" s="1"/>
  <c r="F323" i="2" s="1"/>
  <c r="G323" i="2" s="1"/>
  <c r="E61" i="14"/>
  <c r="K309" i="1" s="1"/>
  <c r="E60" i="14"/>
  <c r="K308" i="1" s="1"/>
  <c r="H308" i="1" s="1"/>
  <c r="E59" i="14"/>
  <c r="K307" i="1" s="1"/>
  <c r="C320" i="2" s="1"/>
  <c r="F320" i="2" s="1"/>
  <c r="G320" i="2" s="1"/>
  <c r="E58" i="14"/>
  <c r="K306" i="1" s="1"/>
  <c r="H306" i="1" s="1"/>
  <c r="E57" i="14"/>
  <c r="K305" i="1" s="1"/>
  <c r="C318" i="2" s="1"/>
  <c r="F318" i="2" s="1"/>
  <c r="G318" i="2" s="1"/>
  <c r="H304" i="1"/>
  <c r="E55" i="14"/>
  <c r="K303" i="1" s="1"/>
  <c r="C316" i="2" s="1"/>
  <c r="F316" i="2" s="1"/>
  <c r="G316" i="2" s="1"/>
  <c r="E54" i="14"/>
  <c r="K302" i="1" s="1"/>
  <c r="H302" i="1" s="1"/>
  <c r="E53" i="14"/>
  <c r="K301" i="1" s="1"/>
  <c r="C314" i="2" s="1"/>
  <c r="F314" i="2" s="1"/>
  <c r="G314" i="2" s="1"/>
  <c r="E52" i="14"/>
  <c r="K300" i="1" s="1"/>
  <c r="H300" i="1" s="1"/>
  <c r="E51" i="14"/>
  <c r="K299" i="1" s="1"/>
  <c r="C312" i="2" s="1"/>
  <c r="F312" i="2" s="1"/>
  <c r="G312" i="2" s="1"/>
  <c r="E50" i="14"/>
  <c r="K298" i="1" s="1"/>
  <c r="H298" i="1" s="1"/>
  <c r="E49" i="14"/>
  <c r="E48" i="14"/>
  <c r="H297" i="1" s="1"/>
  <c r="E47" i="14"/>
  <c r="K296" i="1" s="1"/>
  <c r="C309" i="2" s="1"/>
  <c r="F309" i="2" s="1"/>
  <c r="G309" i="2" s="1"/>
  <c r="H295" i="1"/>
  <c r="E45" i="14"/>
  <c r="K294" i="1" s="1"/>
  <c r="C307" i="2" s="1"/>
  <c r="F307" i="2" s="1"/>
  <c r="G307" i="2" s="1"/>
  <c r="E43" i="14"/>
  <c r="K292" i="1" s="1"/>
  <c r="C305" i="2" s="1"/>
  <c r="F305" i="2" s="1"/>
  <c r="G305" i="2" s="1"/>
  <c r="E42" i="14"/>
  <c r="K291" i="1" s="1"/>
  <c r="H291" i="1" s="1"/>
  <c r="E41" i="14"/>
  <c r="K290" i="1" s="1"/>
  <c r="C303" i="2" s="1"/>
  <c r="F303" i="2" s="1"/>
  <c r="G303" i="2" s="1"/>
  <c r="E40" i="14"/>
  <c r="K289" i="1" s="1"/>
  <c r="H289" i="1" s="1"/>
  <c r="E39" i="14"/>
  <c r="K288" i="1" s="1"/>
  <c r="C301" i="2" s="1"/>
  <c r="F301" i="2" s="1"/>
  <c r="G301" i="2" s="1"/>
  <c r="H287" i="1"/>
  <c r="E37" i="14"/>
  <c r="K286" i="1" s="1"/>
  <c r="C299" i="2" s="1"/>
  <c r="F299" i="2" s="1"/>
  <c r="G299" i="2" s="1"/>
  <c r="E36" i="14"/>
  <c r="K285" i="1" s="1"/>
  <c r="H285" i="1" s="1"/>
  <c r="E35" i="14"/>
  <c r="K284" i="1" s="1"/>
  <c r="C297" i="2" s="1"/>
  <c r="F297" i="2" s="1"/>
  <c r="G297" i="2" s="1"/>
  <c r="E34" i="14"/>
  <c r="K283" i="1" s="1"/>
  <c r="H283" i="1" s="1"/>
  <c r="E33" i="14"/>
  <c r="K282" i="1" s="1"/>
  <c r="C295" i="2" s="1"/>
  <c r="F295" i="2" s="1"/>
  <c r="G295" i="2" s="1"/>
  <c r="H281" i="1"/>
  <c r="E31" i="14"/>
  <c r="K280" i="1" s="1"/>
  <c r="C293" i="2" s="1"/>
  <c r="F293" i="2" s="1"/>
  <c r="G293" i="2" s="1"/>
  <c r="K279" i="1"/>
  <c r="E29" i="14"/>
  <c r="F291" i="2" s="1"/>
  <c r="G291" i="2" s="1"/>
  <c r="E28" i="14"/>
  <c r="K277" i="1" s="1"/>
  <c r="C290" i="2" s="1"/>
  <c r="E27" i="14"/>
  <c r="K276" i="1" s="1"/>
  <c r="E26" i="14"/>
  <c r="K275" i="1" s="1"/>
  <c r="C288" i="2" s="1"/>
  <c r="F288" i="2" s="1"/>
  <c r="G288" i="2" s="1"/>
  <c r="E25" i="14"/>
  <c r="K274" i="1" s="1"/>
  <c r="E23" i="14"/>
  <c r="K272" i="1" s="1"/>
  <c r="C285" i="2" s="1"/>
  <c r="F285" i="2" s="1"/>
  <c r="G285" i="2" s="1"/>
  <c r="E22" i="14"/>
  <c r="K271" i="1" s="1"/>
  <c r="E21" i="14"/>
  <c r="K270" i="1" s="1"/>
  <c r="C283" i="2" s="1"/>
  <c r="F283" i="2" s="1"/>
  <c r="G283" i="2" s="1"/>
  <c r="E19" i="14"/>
  <c r="K268" i="1" s="1"/>
  <c r="C281" i="2" s="1"/>
  <c r="F281" i="2" s="1"/>
  <c r="G281" i="2" s="1"/>
  <c r="E18" i="14"/>
  <c r="K267" i="1" s="1"/>
  <c r="C280" i="2" s="1"/>
  <c r="F280" i="2" s="1"/>
  <c r="G280" i="2" s="1"/>
  <c r="E17" i="14"/>
  <c r="K266" i="1" s="1"/>
  <c r="E16" i="14"/>
  <c r="K265" i="1" s="1"/>
  <c r="E15" i="14"/>
  <c r="K264" i="1" s="1"/>
  <c r="E14" i="14"/>
  <c r="K263" i="1" s="1"/>
  <c r="D12" i="14"/>
  <c r="D134" i="14" s="1"/>
  <c r="E11" i="14"/>
  <c r="E10" i="14"/>
  <c r="E9" i="14"/>
  <c r="E8" i="14"/>
  <c r="E7" i="14"/>
  <c r="E6" i="14"/>
  <c r="E12" i="14" s="1"/>
  <c r="L330" i="1" l="1"/>
  <c r="C379" i="2" s="1"/>
  <c r="C322" i="2"/>
  <c r="F322" i="2" s="1"/>
  <c r="G322" i="2" s="1"/>
  <c r="F404" i="2"/>
  <c r="G404" i="2" s="1"/>
  <c r="F398" i="2"/>
  <c r="G398" i="2" s="1"/>
  <c r="F391" i="2"/>
  <c r="G391" i="2" s="1"/>
  <c r="F416" i="2"/>
  <c r="G416" i="2" s="1"/>
  <c r="F385" i="2"/>
  <c r="G385" i="2" s="1"/>
  <c r="E133" i="14"/>
  <c r="H355" i="1"/>
  <c r="H359" i="1"/>
  <c r="H363" i="1"/>
  <c r="H367" i="1"/>
  <c r="H371" i="1"/>
  <c r="H375" i="1"/>
  <c r="H379" i="1"/>
  <c r="H383" i="1"/>
  <c r="H336" i="1"/>
  <c r="H347" i="1"/>
  <c r="H342" i="1"/>
  <c r="C298" i="2"/>
  <c r="F298" i="2" s="1"/>
  <c r="G298" i="2" s="1"/>
  <c r="C313" i="2"/>
  <c r="F313" i="2" s="1"/>
  <c r="G313" i="2" s="1"/>
  <c r="C321" i="2"/>
  <c r="F321" i="2" s="1"/>
  <c r="G321" i="2" s="1"/>
  <c r="H315" i="1"/>
  <c r="H267" i="1"/>
  <c r="H353" i="1"/>
  <c r="H357" i="1"/>
  <c r="H361" i="1"/>
  <c r="H365" i="1"/>
  <c r="H369" i="1"/>
  <c r="H373" i="1"/>
  <c r="H377" i="1"/>
  <c r="H381" i="1"/>
  <c r="H385" i="1"/>
  <c r="H332" i="1"/>
  <c r="H351" i="1"/>
  <c r="C294" i="2"/>
  <c r="F294" i="2" s="1"/>
  <c r="G294" i="2" s="1"/>
  <c r="C302" i="2"/>
  <c r="F302" i="2" s="1"/>
  <c r="G302" i="2" s="1"/>
  <c r="F310" i="2"/>
  <c r="G310" i="2" s="1"/>
  <c r="H312" i="1"/>
  <c r="H270" i="1"/>
  <c r="H272" i="1"/>
  <c r="C277" i="2"/>
  <c r="F277" i="2" s="1"/>
  <c r="G277" i="2" s="1"/>
  <c r="H264" i="1"/>
  <c r="C279" i="2"/>
  <c r="F279" i="2" s="1"/>
  <c r="G279" i="2" s="1"/>
  <c r="H266" i="1"/>
  <c r="C284" i="2"/>
  <c r="F284" i="2" s="1"/>
  <c r="G284" i="2" s="1"/>
  <c r="H271" i="1"/>
  <c r="C287" i="2"/>
  <c r="F287" i="2" s="1"/>
  <c r="G287" i="2" s="1"/>
  <c r="H274" i="1"/>
  <c r="C289" i="2"/>
  <c r="F289" i="2" s="1"/>
  <c r="G289" i="2" s="1"/>
  <c r="H276" i="1"/>
  <c r="H318" i="1"/>
  <c r="C282" i="2"/>
  <c r="F282" i="2" s="1"/>
  <c r="G282" i="2" s="1"/>
  <c r="H269" i="1"/>
  <c r="H348" i="1"/>
  <c r="H350" i="1"/>
  <c r="H339" i="1"/>
  <c r="H341" i="1"/>
  <c r="H343" i="1"/>
  <c r="H345" i="1"/>
  <c r="H278" i="1"/>
  <c r="H282" i="1"/>
  <c r="H286" i="1"/>
  <c r="H290" i="1"/>
  <c r="H294" i="1"/>
  <c r="H301" i="1"/>
  <c r="H305" i="1"/>
  <c r="H309" i="1"/>
  <c r="H313" i="1"/>
  <c r="H316" i="1"/>
  <c r="C401" i="2"/>
  <c r="F401" i="2" s="1"/>
  <c r="G401" i="2" s="1"/>
  <c r="C405" i="2"/>
  <c r="F405" i="2" s="1"/>
  <c r="G405" i="2" s="1"/>
  <c r="C409" i="2"/>
  <c r="F409" i="2" s="1"/>
  <c r="G409" i="2" s="1"/>
  <c r="C413" i="2"/>
  <c r="F413" i="2" s="1"/>
  <c r="G413" i="2" s="1"/>
  <c r="C417" i="2"/>
  <c r="F417" i="2" s="1"/>
  <c r="G417" i="2" s="1"/>
  <c r="C421" i="2"/>
  <c r="F421" i="2" s="1"/>
  <c r="G421" i="2" s="1"/>
  <c r="H376" i="1"/>
  <c r="H380" i="1"/>
  <c r="H384" i="1"/>
  <c r="H329" i="1"/>
  <c r="H333" i="1"/>
  <c r="H337" i="1"/>
  <c r="H268" i="1"/>
  <c r="C276" i="2"/>
  <c r="C278" i="2"/>
  <c r="H265" i="1"/>
  <c r="C292" i="2"/>
  <c r="H279" i="1"/>
  <c r="C330" i="2"/>
  <c r="H317" i="1"/>
  <c r="H334" i="1"/>
  <c r="H338" i="1"/>
  <c r="H280" i="1"/>
  <c r="H284" i="1"/>
  <c r="H288" i="1"/>
  <c r="H292" i="1"/>
  <c r="H296" i="1"/>
  <c r="H299" i="1"/>
  <c r="H303" i="1"/>
  <c r="H307" i="1"/>
  <c r="H311" i="1"/>
  <c r="C403" i="2"/>
  <c r="F403" i="2" s="1"/>
  <c r="G403" i="2" s="1"/>
  <c r="C407" i="2"/>
  <c r="F407" i="2" s="1"/>
  <c r="G407" i="2" s="1"/>
  <c r="C411" i="2"/>
  <c r="F411" i="2" s="1"/>
  <c r="G411" i="2" s="1"/>
  <c r="C415" i="2"/>
  <c r="F415" i="2" s="1"/>
  <c r="G415" i="2" s="1"/>
  <c r="C419" i="2"/>
  <c r="F419" i="2" s="1"/>
  <c r="G419" i="2" s="1"/>
  <c r="H374" i="1"/>
  <c r="H378" i="1"/>
  <c r="H382" i="1"/>
  <c r="H346" i="1"/>
  <c r="H349" i="1"/>
  <c r="H340" i="1"/>
  <c r="H344" i="1"/>
  <c r="H331" i="1"/>
  <c r="H335" i="1"/>
  <c r="H328" i="1"/>
  <c r="H277" i="1"/>
  <c r="C296" i="2"/>
  <c r="F296" i="2" s="1"/>
  <c r="G296" i="2" s="1"/>
  <c r="C304" i="2"/>
  <c r="F304" i="2" s="1"/>
  <c r="G304" i="2" s="1"/>
  <c r="C311" i="2"/>
  <c r="F311" i="2" s="1"/>
  <c r="G311" i="2" s="1"/>
  <c r="C315" i="2"/>
  <c r="F315" i="2" s="1"/>
  <c r="G315" i="2" s="1"/>
  <c r="C319" i="2"/>
  <c r="F319" i="2" s="1"/>
  <c r="G319" i="2" s="1"/>
  <c r="H314" i="1"/>
  <c r="H263" i="1"/>
  <c r="H310" i="1"/>
  <c r="H275" i="1"/>
  <c r="H273" i="1"/>
  <c r="F425" i="2"/>
  <c r="G425" i="2" s="1"/>
  <c r="F429" i="2"/>
  <c r="G429" i="2" s="1"/>
  <c r="F433" i="2"/>
  <c r="G433" i="2" s="1"/>
  <c r="F378" i="2"/>
  <c r="F382" i="2"/>
  <c r="G382" i="2" s="1"/>
  <c r="F386" i="2"/>
  <c r="G386" i="2" s="1"/>
  <c r="F290" i="2"/>
  <c r="G290" i="2" s="1"/>
  <c r="F325" i="2"/>
  <c r="G325" i="2" s="1"/>
  <c r="F327" i="2"/>
  <c r="G327" i="2" s="1"/>
  <c r="F328" i="2"/>
  <c r="G328" i="2" s="1"/>
  <c r="F397" i="2"/>
  <c r="G397" i="2" s="1"/>
  <c r="F390" i="2"/>
  <c r="G390" i="2" s="1"/>
  <c r="F394" i="2"/>
  <c r="G394" i="2" s="1"/>
  <c r="E72" i="14"/>
  <c r="C364" i="2" l="1"/>
  <c r="G378" i="2"/>
  <c r="F379" i="2"/>
  <c r="G379" i="2" s="1"/>
  <c r="H330" i="1"/>
  <c r="F292" i="2"/>
  <c r="G292" i="2" s="1"/>
  <c r="F330" i="2"/>
  <c r="G330" i="2" s="1"/>
  <c r="E134" i="14"/>
  <c r="F276" i="2"/>
  <c r="G276" i="2" s="1"/>
  <c r="G377" i="2"/>
  <c r="F278" i="2"/>
  <c r="G278" i="2" s="1"/>
  <c r="F331" i="2"/>
  <c r="C359" i="2"/>
  <c r="F355" i="2"/>
  <c r="G355" i="2" s="1"/>
  <c r="B459" i="2"/>
  <c r="G456" i="2"/>
  <c r="F456" i="2"/>
  <c r="D456" i="2"/>
  <c r="C454" i="2"/>
  <c r="G454" i="2" s="1"/>
  <c r="D449" i="2"/>
  <c r="E449" i="2"/>
  <c r="C451" i="2"/>
  <c r="G451" i="2" s="1"/>
  <c r="B451" i="2"/>
  <c r="G361" i="2"/>
  <c r="F361" i="2"/>
  <c r="D361" i="2"/>
  <c r="G198" i="2"/>
  <c r="D196" i="2"/>
  <c r="B193" i="2"/>
  <c r="B186" i="2"/>
  <c r="B174" i="2"/>
  <c r="B157" i="2"/>
  <c r="B156" i="2"/>
  <c r="B132" i="2"/>
  <c r="D117" i="2"/>
  <c r="B76" i="2"/>
  <c r="B57" i="2"/>
  <c r="B56" i="2"/>
  <c r="B55" i="2"/>
  <c r="B54" i="2"/>
  <c r="B53" i="2"/>
  <c r="B52" i="2"/>
  <c r="B51" i="2"/>
  <c r="B50" i="2"/>
  <c r="B46" i="2"/>
  <c r="C455" i="2"/>
  <c r="G455" i="2" s="1"/>
  <c r="C453" i="2"/>
  <c r="G453" i="2" s="1"/>
  <c r="F452" i="2"/>
  <c r="E452" i="2"/>
  <c r="D452" i="2"/>
  <c r="C450" i="2"/>
  <c r="F450" i="2" s="1"/>
  <c r="F449" i="2" s="1"/>
  <c r="B450" i="2"/>
  <c r="C448" i="2"/>
  <c r="C447" i="2" s="1"/>
  <c r="B448" i="2"/>
  <c r="E447" i="2"/>
  <c r="D447" i="2"/>
  <c r="C445" i="2"/>
  <c r="F445" i="2" s="1"/>
  <c r="C446" i="2"/>
  <c r="G437" i="2"/>
  <c r="G440" i="2"/>
  <c r="G439" i="2"/>
  <c r="G438" i="2"/>
  <c r="E436" i="2"/>
  <c r="D436" i="2"/>
  <c r="F254" i="1"/>
  <c r="H223" i="1"/>
  <c r="K214" i="1"/>
  <c r="M139" i="1"/>
  <c r="O156" i="1"/>
  <c r="G364" i="2" l="1"/>
  <c r="F364" i="2"/>
  <c r="E371" i="2"/>
  <c r="E370" i="2"/>
  <c r="E364" i="2" s="1"/>
  <c r="D370" i="2"/>
  <c r="D371" i="2"/>
  <c r="G331" i="2"/>
  <c r="F446" i="2"/>
  <c r="G446" i="2" s="1"/>
  <c r="C449" i="2"/>
  <c r="C452" i="2"/>
  <c r="G452" i="2"/>
  <c r="G448" i="2"/>
  <c r="G450" i="2"/>
  <c r="G449" i="2" s="1"/>
  <c r="G445" i="2"/>
  <c r="F252" i="1"/>
  <c r="K210" i="1"/>
  <c r="D364" i="2" l="1"/>
  <c r="K206" i="1"/>
  <c r="G447" i="2"/>
  <c r="F447" i="2"/>
  <c r="L206" i="1" l="1"/>
  <c r="M206" i="1"/>
  <c r="H155" i="1"/>
  <c r="H156" i="1"/>
  <c r="J210" i="1" l="1"/>
  <c r="D195" i="2" s="1"/>
  <c r="O211" i="1"/>
  <c r="J237" i="1" l="1"/>
  <c r="K237" i="1"/>
  <c r="J236" i="1"/>
  <c r="N238" i="1"/>
  <c r="N240" i="1" s="1"/>
  <c r="J238" i="1" l="1"/>
  <c r="N241" i="1"/>
  <c r="N242" i="1" s="1"/>
  <c r="O241" i="1"/>
  <c r="J398" i="1"/>
  <c r="H398" i="1" l="1"/>
  <c r="C213" i="2"/>
  <c r="J27" i="1"/>
  <c r="K32" i="1"/>
  <c r="C228" i="2" s="1"/>
  <c r="F213" i="2" l="1"/>
  <c r="G213" i="2" s="1"/>
  <c r="F228" i="2"/>
  <c r="G228" i="2" s="1"/>
  <c r="J145" i="1"/>
  <c r="B188" i="2"/>
  <c r="J251" i="1" l="1"/>
  <c r="H251" i="1" l="1"/>
  <c r="C206" i="2"/>
  <c r="F206" i="2" s="1"/>
  <c r="G206" i="2" s="1"/>
  <c r="H417" i="1" l="1"/>
  <c r="G262" i="2" l="1"/>
  <c r="F262" i="2"/>
  <c r="J206" i="1"/>
  <c r="I206" i="1"/>
  <c r="P403" i="1"/>
  <c r="P401" i="1" s="1"/>
  <c r="P402" i="1" s="1"/>
  <c r="C262" i="2" l="1"/>
  <c r="J399" i="1" l="1"/>
  <c r="C214" i="2" s="1"/>
  <c r="F214" i="2" s="1"/>
  <c r="G214" i="2" s="1"/>
  <c r="F156" i="1" l="1"/>
  <c r="E362" i="2"/>
  <c r="E357" i="2"/>
  <c r="E353" i="2"/>
  <c r="E345" i="2"/>
  <c r="E334" i="2"/>
  <c r="E258" i="2"/>
  <c r="B249" i="2"/>
  <c r="E248" i="2"/>
  <c r="K164" i="1" s="1"/>
  <c r="K21" i="1" s="1"/>
  <c r="E199" i="2"/>
  <c r="E197" i="2"/>
  <c r="E191" i="2"/>
  <c r="E149" i="2"/>
  <c r="E135" i="2"/>
  <c r="E128" i="2"/>
  <c r="E118" i="2"/>
  <c r="E82" i="2"/>
  <c r="E32" i="2"/>
  <c r="E19" i="2"/>
  <c r="I21" i="1"/>
  <c r="L21" i="1"/>
  <c r="M21" i="1"/>
  <c r="D199" i="2" l="1"/>
  <c r="J28" i="1"/>
  <c r="B154" i="2" l="1"/>
  <c r="B153" i="2"/>
  <c r="J82" i="1"/>
  <c r="J90" i="1"/>
  <c r="J88" i="1"/>
  <c r="J79" i="1"/>
  <c r="B180" i="2" l="1"/>
  <c r="B179" i="2"/>
  <c r="B177" i="2"/>
  <c r="B178" i="2"/>
  <c r="J94" i="1"/>
  <c r="J110" i="1" l="1"/>
  <c r="J109" i="1"/>
  <c r="J108" i="1"/>
  <c r="J107" i="1"/>
  <c r="J87" i="1"/>
  <c r="J75" i="1"/>
  <c r="J81" i="1"/>
  <c r="J101" i="1"/>
  <c r="J80" i="1"/>
  <c r="H107" i="1" l="1"/>
  <c r="H81" i="1"/>
  <c r="H80" i="1"/>
  <c r="H108" i="1"/>
  <c r="H109" i="1"/>
  <c r="H110" i="1"/>
  <c r="B187" i="2"/>
  <c r="F155" i="1"/>
  <c r="G9" i="8" l="1"/>
  <c r="H9" i="8" s="1"/>
  <c r="G10" i="8"/>
  <c r="H10" i="8" s="1"/>
  <c r="G11" i="8"/>
  <c r="H11" i="8" s="1"/>
  <c r="G7" i="8"/>
  <c r="H7" i="8" s="1"/>
  <c r="G5" i="8"/>
  <c r="H5" i="8" s="1"/>
  <c r="E183" i="2" l="1"/>
  <c r="J164" i="1" s="1"/>
  <c r="J21" i="1" s="1"/>
  <c r="N21" i="1" s="1"/>
  <c r="F19" i="8"/>
  <c r="H164" i="1" l="1"/>
  <c r="H21" i="1" s="1"/>
  <c r="C16" i="8"/>
  <c r="E17" i="8"/>
  <c r="E16" i="8"/>
  <c r="E21" i="8" l="1"/>
  <c r="F8" i="8"/>
  <c r="F6" i="8"/>
  <c r="D18" i="8"/>
  <c r="F21" i="8" l="1"/>
  <c r="H16" i="8"/>
  <c r="I16" i="8" s="1"/>
  <c r="I17" i="8" s="1"/>
  <c r="D19" i="8"/>
  <c r="D6" i="8" l="1"/>
  <c r="D21" i="8" s="1"/>
  <c r="F46" i="1" l="1"/>
  <c r="F49" i="1"/>
  <c r="F48" i="1"/>
  <c r="D362" i="2" l="1"/>
  <c r="F362" i="2"/>
  <c r="L230" i="1"/>
  <c r="G363" i="2" s="1"/>
  <c r="G362" i="2" s="1"/>
  <c r="L222" i="1"/>
  <c r="C363" i="2" l="1"/>
  <c r="C362" i="2" s="1"/>
  <c r="J104" i="1" l="1"/>
  <c r="B173" i="2"/>
  <c r="J103" i="1"/>
  <c r="H103" i="1" s="1"/>
  <c r="B171" i="2"/>
  <c r="B172" i="2"/>
  <c r="J102" i="1"/>
  <c r="H101" i="1"/>
  <c r="J100" i="1"/>
  <c r="H104" i="1" l="1"/>
  <c r="H102" i="1"/>
  <c r="J30" i="1"/>
  <c r="H397" i="1" l="1"/>
  <c r="D198" i="2" l="1"/>
  <c r="N146" i="1" l="1"/>
  <c r="B176" i="2" l="1"/>
  <c r="J106" i="1"/>
  <c r="H106" i="1" l="1"/>
  <c r="J195" i="1" l="1"/>
  <c r="J131" i="1" l="1"/>
  <c r="I230" i="1"/>
  <c r="I403" i="1"/>
  <c r="N202" i="1"/>
  <c r="I38" i="1"/>
  <c r="I23" i="1" l="1"/>
  <c r="B175" i="2" l="1"/>
  <c r="J105" i="1"/>
  <c r="H105" i="1" l="1"/>
  <c r="D345" i="2" l="1"/>
  <c r="L241" i="1" l="1"/>
  <c r="J32" i="1" l="1"/>
  <c r="J139" i="1" l="1"/>
  <c r="B163" i="2" l="1"/>
  <c r="B170" i="2"/>
  <c r="H100" i="1"/>
  <c r="J92" i="1"/>
  <c r="J95" i="1"/>
  <c r="D135" i="2" l="1"/>
  <c r="B148" i="2"/>
  <c r="F251" i="1" l="1"/>
  <c r="F246" i="1"/>
  <c r="P145" i="1" l="1"/>
  <c r="J99" i="1" l="1"/>
  <c r="J98" i="1"/>
  <c r="H98" i="1" s="1"/>
  <c r="J97" i="1"/>
  <c r="J96" i="1"/>
  <c r="H96" i="1" s="1"/>
  <c r="H95" i="1"/>
  <c r="J76" i="1"/>
  <c r="J85" i="1"/>
  <c r="H120" i="1"/>
  <c r="H246" i="1"/>
  <c r="H97" i="1" l="1"/>
  <c r="H94" i="1"/>
  <c r="H99" i="1"/>
  <c r="J41" i="1"/>
  <c r="I44" i="1" l="1"/>
  <c r="M202" i="1" l="1"/>
  <c r="K202" i="1"/>
  <c r="L202" i="1"/>
  <c r="G244" i="1" l="1"/>
  <c r="F243" i="1" s="1"/>
  <c r="F244" i="1"/>
  <c r="J224" i="1"/>
  <c r="H224" i="1" s="1"/>
  <c r="H33" i="1"/>
  <c r="D258" i="2"/>
  <c r="F258" i="2"/>
  <c r="C261" i="2"/>
  <c r="G261" i="2" s="1"/>
  <c r="G260" i="2"/>
  <c r="C259" i="2"/>
  <c r="C360" i="2"/>
  <c r="G360" i="2" s="1"/>
  <c r="G359" i="2"/>
  <c r="C358" i="2"/>
  <c r="G358" i="2" s="1"/>
  <c r="D357" i="2"/>
  <c r="F357" i="2"/>
  <c r="D353" i="2"/>
  <c r="D248" i="2"/>
  <c r="K163" i="1" s="1"/>
  <c r="G257" i="2"/>
  <c r="C352" i="2"/>
  <c r="G352" i="2" s="1"/>
  <c r="C351" i="2"/>
  <c r="F351" i="2" s="1"/>
  <c r="F345" i="2" s="1"/>
  <c r="G259" i="2" l="1"/>
  <c r="G258" i="2" s="1"/>
  <c r="C258" i="2"/>
  <c r="C345" i="2"/>
  <c r="G357" i="2"/>
  <c r="C357" i="2"/>
  <c r="F145" i="1"/>
  <c r="F146" i="1"/>
  <c r="F147" i="1"/>
  <c r="F119" i="1"/>
  <c r="G146" i="1"/>
  <c r="F141" i="1" l="1"/>
  <c r="G20" i="3"/>
  <c r="F20" i="3"/>
  <c r="G351" i="2"/>
  <c r="G345" i="2" s="1"/>
  <c r="L136" i="1" s="1"/>
  <c r="C356" i="2"/>
  <c r="C354" i="2"/>
  <c r="C343" i="2"/>
  <c r="C344" i="2"/>
  <c r="F344" i="2" s="1"/>
  <c r="F339" i="2"/>
  <c r="C335" i="2"/>
  <c r="F335" i="2" s="1"/>
  <c r="L38" i="1"/>
  <c r="F338" i="2"/>
  <c r="G338" i="2" s="1"/>
  <c r="F337" i="2"/>
  <c r="G337" i="2" s="1"/>
  <c r="F336" i="2"/>
  <c r="G336" i="2" s="1"/>
  <c r="D334" i="2"/>
  <c r="G339" i="2" l="1"/>
  <c r="G356" i="2"/>
  <c r="F343" i="2"/>
  <c r="G343" i="2" s="1"/>
  <c r="L403" i="1"/>
  <c r="L402" i="1"/>
  <c r="L135" i="1"/>
  <c r="F354" i="2"/>
  <c r="C353" i="2"/>
  <c r="G335" i="2"/>
  <c r="G344" i="2"/>
  <c r="G196" i="2"/>
  <c r="F196" i="2"/>
  <c r="G195" i="2"/>
  <c r="F195" i="2"/>
  <c r="B194" i="2"/>
  <c r="D191" i="2"/>
  <c r="F191" i="2"/>
  <c r="G193" i="2"/>
  <c r="C192" i="2"/>
  <c r="B192" i="2"/>
  <c r="G342" i="2" l="1"/>
  <c r="F353" i="2"/>
  <c r="L165" i="1" s="1"/>
  <c r="C194" i="2"/>
  <c r="G194" i="2" s="1"/>
  <c r="J202" i="1"/>
  <c r="G354" i="2"/>
  <c r="G192" i="2"/>
  <c r="G353" i="2" l="1"/>
  <c r="L166" i="1" s="1"/>
  <c r="L411" i="1" s="1"/>
  <c r="C191" i="2"/>
  <c r="G191" i="2"/>
  <c r="J244" i="1"/>
  <c r="J241" i="1" s="1"/>
  <c r="L139" i="1" l="1"/>
  <c r="F250" i="1"/>
  <c r="F249" i="1"/>
  <c r="F248" i="1"/>
  <c r="F247" i="1"/>
  <c r="F245" i="1"/>
  <c r="F242" i="1" l="1"/>
  <c r="F18" i="3"/>
  <c r="C200" i="2"/>
  <c r="F200" i="2" s="1"/>
  <c r="I249" i="1"/>
  <c r="I244" i="1"/>
  <c r="I399" i="1"/>
  <c r="H250" i="1"/>
  <c r="I247" i="1"/>
  <c r="C199" i="2" l="1"/>
  <c r="H249" i="1"/>
  <c r="C132" i="2"/>
  <c r="I27" i="1"/>
  <c r="I30" i="1"/>
  <c r="I32" i="1"/>
  <c r="H32" i="1" s="1"/>
  <c r="F199" i="2" l="1"/>
  <c r="G200" i="2"/>
  <c r="G199" i="2" s="1"/>
  <c r="I57" i="1" l="1"/>
  <c r="H57" i="1" s="1"/>
  <c r="I132" i="1"/>
  <c r="H132" i="1" s="1"/>
  <c r="H230" i="1" l="1"/>
  <c r="L214" i="1"/>
  <c r="I131" i="1" l="1"/>
  <c r="C149" i="2"/>
  <c r="N57" i="1" l="1"/>
  <c r="F149" i="2" l="1"/>
  <c r="I49" i="1" l="1"/>
  <c r="I143" i="1" l="1"/>
  <c r="I184" i="1" l="1"/>
  <c r="I183" i="1"/>
  <c r="I181" i="1"/>
  <c r="I180" i="1"/>
  <c r="I179" i="1"/>
  <c r="I178" i="1"/>
  <c r="I236" i="1" l="1"/>
  <c r="I237" i="1" l="1"/>
  <c r="I411" i="1" s="1"/>
  <c r="I234" i="1" l="1"/>
  <c r="H116" i="1" l="1"/>
  <c r="H117" i="1"/>
  <c r="H118" i="1"/>
  <c r="I195" i="1"/>
  <c r="I171" i="1"/>
  <c r="I170" i="1"/>
  <c r="I214" i="1"/>
  <c r="H111" i="1"/>
  <c r="H112" i="1"/>
  <c r="H113" i="1"/>
  <c r="H114" i="1"/>
  <c r="H115" i="1"/>
  <c r="H177" i="1" l="1"/>
  <c r="I176" i="1"/>
  <c r="I175" i="1"/>
  <c r="I174" i="1"/>
  <c r="F118" i="2"/>
  <c r="D118" i="2"/>
  <c r="H221" i="1"/>
  <c r="H220" i="1"/>
  <c r="I84" i="1" l="1"/>
  <c r="I82" i="1"/>
  <c r="I78" i="1"/>
  <c r="I76" i="1"/>
  <c r="I248" i="1" l="1"/>
  <c r="I241" i="1" s="1"/>
  <c r="G197" i="2" l="1"/>
  <c r="F198" i="2"/>
  <c r="F197" i="2" s="1"/>
  <c r="D197" i="2"/>
  <c r="J402" i="1" l="1"/>
  <c r="D20" i="3"/>
  <c r="J403" i="1" l="1"/>
  <c r="I188" i="1"/>
  <c r="I187" i="1"/>
  <c r="I186" i="1"/>
  <c r="I185" i="1"/>
  <c r="I182" i="1"/>
  <c r="B10" i="12" l="1"/>
  <c r="B11" i="12"/>
  <c r="B12" i="12"/>
  <c r="B13" i="12"/>
  <c r="B14" i="12"/>
  <c r="B15" i="12"/>
  <c r="B16" i="12"/>
  <c r="B17" i="12"/>
  <c r="B6" i="12"/>
  <c r="A36" i="12"/>
  <c r="A37" i="12"/>
  <c r="A30" i="12"/>
  <c r="A31" i="12"/>
  <c r="A32" i="12"/>
  <c r="A33" i="12"/>
  <c r="A34" i="12"/>
  <c r="A35" i="12"/>
  <c r="A21" i="12"/>
  <c r="A22" i="12"/>
  <c r="A23" i="12"/>
  <c r="A24" i="12"/>
  <c r="A25" i="12"/>
  <c r="A26" i="12"/>
  <c r="A27" i="12"/>
  <c r="A28" i="12"/>
  <c r="A29" i="12"/>
  <c r="A5" i="12"/>
  <c r="A6" i="12"/>
  <c r="A7" i="12"/>
  <c r="A8" i="12"/>
  <c r="A9" i="12"/>
  <c r="A10" i="12"/>
  <c r="A11" i="12"/>
  <c r="A12" i="12"/>
  <c r="A13" i="12"/>
  <c r="A14" i="12"/>
  <c r="A15" i="12"/>
  <c r="A16" i="12"/>
  <c r="A17" i="12"/>
  <c r="A18" i="12"/>
  <c r="A19" i="12"/>
  <c r="A20" i="12"/>
  <c r="A4" i="12"/>
  <c r="E6" i="11" l="1"/>
  <c r="B19" i="11"/>
  <c r="B18" i="11"/>
  <c r="B17" i="11"/>
  <c r="D6" i="11"/>
  <c r="B16" i="11"/>
  <c r="B15" i="11"/>
  <c r="C6" i="11" l="1"/>
  <c r="B6" i="11"/>
  <c r="B17" i="8" l="1"/>
  <c r="B16" i="8"/>
  <c r="B15" i="8"/>
  <c r="B5" i="8"/>
  <c r="B6" i="8"/>
  <c r="B7" i="8"/>
  <c r="B8" i="8"/>
  <c r="B9" i="8"/>
  <c r="B10" i="8"/>
  <c r="B11" i="8"/>
  <c r="B12" i="8"/>
  <c r="B13" i="8"/>
  <c r="B14" i="8"/>
  <c r="B4" i="8"/>
  <c r="I47" i="1" l="1"/>
  <c r="I46" i="1"/>
  <c r="I45" i="1"/>
  <c r="D128" i="2"/>
  <c r="F132" i="2"/>
  <c r="H248" i="1"/>
  <c r="B8" i="12" l="1"/>
  <c r="B7" i="12"/>
  <c r="B9" i="12"/>
  <c r="G132" i="2"/>
  <c r="I92" i="1"/>
  <c r="I93" i="1"/>
  <c r="B36" i="12"/>
  <c r="B34" i="12"/>
  <c r="I91" i="1"/>
  <c r="B33" i="12" s="1"/>
  <c r="I90" i="1"/>
  <c r="B32" i="12" s="1"/>
  <c r="I89" i="1"/>
  <c r="I88" i="1"/>
  <c r="I87" i="1"/>
  <c r="B29" i="12" s="1"/>
  <c r="I86" i="1"/>
  <c r="B28" i="12" s="1"/>
  <c r="I85" i="1"/>
  <c r="B27" i="12" s="1"/>
  <c r="B26" i="12"/>
  <c r="I83" i="1"/>
  <c r="B25" i="12" s="1"/>
  <c r="B24" i="12"/>
  <c r="I79" i="1"/>
  <c r="B23" i="12" s="1"/>
  <c r="B22" i="12"/>
  <c r="I77" i="1"/>
  <c r="B21" i="12" s="1"/>
  <c r="B20" i="12"/>
  <c r="I75" i="1"/>
  <c r="B30" i="12" l="1"/>
  <c r="B37" i="12"/>
  <c r="B19" i="12"/>
  <c r="B31" i="12"/>
  <c r="B35" i="12"/>
  <c r="G45" i="1"/>
  <c r="G47" i="1"/>
  <c r="F43" i="1" l="1"/>
  <c r="D9" i="9"/>
  <c r="D11" i="9" s="1"/>
  <c r="B28" i="9"/>
  <c r="C29" i="9"/>
  <c r="F29" i="9"/>
  <c r="B26" i="9"/>
  <c r="E29" i="9"/>
  <c r="D29" i="9"/>
  <c r="B27" i="9"/>
  <c r="D20" i="9"/>
  <c r="E20" i="9"/>
  <c r="F20" i="9"/>
  <c r="C20" i="9"/>
  <c r="B18" i="9"/>
  <c r="B19" i="9"/>
  <c r="B17" i="9"/>
  <c r="C9" i="9"/>
  <c r="C11" i="9" s="1"/>
  <c r="F11" i="9"/>
  <c r="B6" i="9"/>
  <c r="B7" i="9"/>
  <c r="B20" i="9" l="1"/>
  <c r="B8" i="9"/>
  <c r="B10" i="9" s="1"/>
  <c r="B29" i="9"/>
  <c r="G26" i="9" s="1"/>
  <c r="G28" i="9" l="1"/>
  <c r="G27" i="9"/>
  <c r="G18" i="9"/>
  <c r="G17" i="9"/>
  <c r="G19" i="9"/>
  <c r="G29" i="9" l="1"/>
  <c r="G20" i="9"/>
  <c r="H211" i="1"/>
  <c r="B58" i="2" l="1"/>
  <c r="B59" i="2"/>
  <c r="B60" i="2"/>
  <c r="B61" i="2"/>
  <c r="B62" i="2"/>
  <c r="B63" i="2"/>
  <c r="H90" i="1"/>
  <c r="H91" i="1"/>
  <c r="H88" i="1"/>
  <c r="H85" i="1"/>
  <c r="H84" i="1"/>
  <c r="H83" i="1"/>
  <c r="H82" i="1"/>
  <c r="H79" i="1"/>
  <c r="H89" i="1"/>
  <c r="H86" i="1" l="1"/>
  <c r="H93" i="1"/>
  <c r="H87" i="1"/>
  <c r="H92" i="1"/>
  <c r="E9" i="9" l="1"/>
  <c r="E11" i="9" l="1"/>
  <c r="B9" i="9"/>
  <c r="G8" i="9" s="1"/>
  <c r="G6" i="9" l="1"/>
  <c r="G7" i="9"/>
  <c r="G9" i="9" l="1"/>
  <c r="B107" i="2"/>
  <c r="H188" i="1"/>
  <c r="B114" i="2"/>
  <c r="H195" i="1"/>
  <c r="F126" i="2" l="1"/>
  <c r="D126" i="2"/>
  <c r="C133" i="2"/>
  <c r="F133" i="2" s="1"/>
  <c r="B133" i="2"/>
  <c r="H399" i="1"/>
  <c r="G133" i="2" l="1"/>
  <c r="B18" i="12"/>
  <c r="H78" i="1"/>
  <c r="H218" i="1"/>
  <c r="G126" i="2" l="1"/>
  <c r="H238" i="1"/>
  <c r="J234" i="1"/>
  <c r="C198" i="2" s="1"/>
  <c r="C197" i="2" s="1"/>
  <c r="C126" i="2" l="1"/>
  <c r="B48" i="2" l="1"/>
  <c r="B49" i="2"/>
  <c r="B47" i="2"/>
  <c r="H75" i="1" l="1"/>
  <c r="H76" i="1"/>
  <c r="H77" i="1"/>
  <c r="B131" i="2" l="1"/>
  <c r="B37" i="2"/>
  <c r="B38" i="2"/>
  <c r="B39" i="2"/>
  <c r="B40" i="2"/>
  <c r="B41" i="2"/>
  <c r="B42" i="2"/>
  <c r="B43" i="2"/>
  <c r="B44" i="2"/>
  <c r="J20" i="1"/>
  <c r="K20" i="1"/>
  <c r="L20" i="1"/>
  <c r="M20" i="1"/>
  <c r="H245" i="1"/>
  <c r="C130" i="2"/>
  <c r="C129" i="2"/>
  <c r="F129" i="2" l="1"/>
  <c r="L22" i="1" l="1"/>
  <c r="I20" i="1"/>
  <c r="F130" i="2"/>
  <c r="C131" i="2"/>
  <c r="C128" i="2" s="1"/>
  <c r="B33" i="2"/>
  <c r="H244" i="1"/>
  <c r="N20" i="1" l="1"/>
  <c r="F131" i="2"/>
  <c r="G131" i="2" s="1"/>
  <c r="H401" i="1"/>
  <c r="G130" i="2"/>
  <c r="G129" i="2"/>
  <c r="H247" i="1"/>
  <c r="G128" i="2" l="1"/>
  <c r="F128" i="2"/>
  <c r="H51" i="1" l="1"/>
  <c r="H52" i="1"/>
  <c r="H53" i="1"/>
  <c r="H54" i="1"/>
  <c r="H55" i="1"/>
  <c r="H56" i="1"/>
  <c r="H187" i="1" l="1"/>
  <c r="H185" i="1"/>
  <c r="H183" i="1"/>
  <c r="H181" i="1"/>
  <c r="H178" i="1"/>
  <c r="H186" i="1" l="1"/>
  <c r="H184" i="1"/>
  <c r="H182" i="1"/>
  <c r="H180" i="1"/>
  <c r="H179" i="1"/>
  <c r="D34" i="5"/>
  <c r="E9" i="5" l="1"/>
  <c r="F47" i="1" l="1"/>
  <c r="F45" i="1" l="1"/>
  <c r="F42" i="1" s="1"/>
  <c r="E18" i="3" l="1"/>
  <c r="E20" i="3"/>
  <c r="C21" i="8"/>
  <c r="C22" i="8" s="1"/>
  <c r="D16" i="5"/>
  <c r="J20" i="3" l="1"/>
  <c r="L20" i="3"/>
  <c r="M20" i="3" s="1"/>
  <c r="H50" i="1"/>
  <c r="I191" i="1" l="1"/>
  <c r="B29" i="5"/>
  <c r="C29" i="5" s="1"/>
  <c r="B30" i="5"/>
  <c r="C30" i="5" s="1"/>
  <c r="B31" i="5"/>
  <c r="C31" i="5" s="1"/>
  <c r="B32" i="5"/>
  <c r="C32" i="5" s="1"/>
  <c r="B33" i="5"/>
  <c r="C33" i="5" s="1"/>
  <c r="B28" i="5"/>
  <c r="C28" i="5" s="1"/>
  <c r="I189" i="1"/>
  <c r="I190" i="1"/>
  <c r="I192" i="1"/>
  <c r="I193" i="1"/>
  <c r="I194" i="1"/>
  <c r="G33" i="5" l="1"/>
  <c r="C27" i="5"/>
  <c r="B27" i="5"/>
  <c r="D27" i="5" l="1"/>
  <c r="D39" i="3"/>
  <c r="C45" i="3"/>
  <c r="M45" i="3" s="1"/>
  <c r="H174" i="1" l="1"/>
  <c r="H175" i="1"/>
  <c r="H176" i="1"/>
  <c r="H189" i="1"/>
  <c r="H190" i="1"/>
  <c r="H191" i="1"/>
  <c r="H192" i="1"/>
  <c r="H193" i="1"/>
  <c r="H194" i="1"/>
  <c r="J214" i="1"/>
  <c r="C196" i="2" s="1"/>
  <c r="M214" i="1"/>
  <c r="H214" i="1" l="1"/>
  <c r="H216" i="1"/>
  <c r="H217" i="1"/>
  <c r="H219" i="1"/>
  <c r="H222" i="1"/>
  <c r="F117" i="2"/>
  <c r="N214" i="1" l="1"/>
  <c r="C54" i="3" l="1"/>
  <c r="C53" i="3"/>
  <c r="B75" i="2" l="1"/>
  <c r="B77" i="2"/>
  <c r="B73" i="2"/>
  <c r="B74" i="2"/>
  <c r="B72" i="2"/>
  <c r="G29" i="5" l="1"/>
  <c r="J33" i="5" s="1"/>
  <c r="B12" i="5"/>
  <c r="B7" i="5"/>
  <c r="B19" i="5"/>
  <c r="I196" i="1"/>
  <c r="I169" i="1" s="1"/>
  <c r="I159" i="1"/>
  <c r="I139" i="1" s="1"/>
  <c r="C23" i="5"/>
  <c r="C24" i="5"/>
  <c r="C22" i="5"/>
  <c r="H159" i="1" l="1"/>
  <c r="C19" i="5"/>
  <c r="H49" i="1"/>
  <c r="H121" i="1" l="1"/>
  <c r="H122" i="1"/>
  <c r="H123" i="1"/>
  <c r="H124" i="1"/>
  <c r="H125" i="1"/>
  <c r="H126" i="1"/>
  <c r="I127" i="1"/>
  <c r="I130" i="1"/>
  <c r="I41" i="1" l="1"/>
  <c r="H127" i="1"/>
  <c r="D19" i="5" l="1"/>
  <c r="C12" i="5"/>
  <c r="D12" i="5"/>
  <c r="H18" i="3" l="1"/>
  <c r="H158" i="1"/>
  <c r="I28" i="1" l="1"/>
  <c r="D19" i="2"/>
  <c r="I34" i="1"/>
  <c r="H34" i="1" s="1"/>
  <c r="I26" i="1" l="1"/>
  <c r="D7" i="5"/>
  <c r="G14" i="4" l="1"/>
  <c r="K20" i="3"/>
  <c r="D149" i="2"/>
  <c r="C51" i="3" l="1"/>
  <c r="H229" i="1"/>
  <c r="H228" i="1"/>
  <c r="H215" i="1"/>
  <c r="C118" i="2" l="1"/>
  <c r="G118" i="2"/>
  <c r="F256" i="2"/>
  <c r="G256" i="2" l="1"/>
  <c r="H146" i="1"/>
  <c r="F157" i="1" l="1"/>
  <c r="F140" i="1" l="1"/>
  <c r="G18" i="3" s="1"/>
  <c r="I18" i="3"/>
  <c r="D183" i="2"/>
  <c r="C183" i="2"/>
  <c r="B185" i="2"/>
  <c r="B184" i="2"/>
  <c r="H145" i="1"/>
  <c r="H147" i="1"/>
  <c r="K18" i="3" l="1"/>
  <c r="J18" i="3"/>
  <c r="F183" i="2"/>
  <c r="G183" i="2"/>
  <c r="F219" i="2"/>
  <c r="G219" i="2" s="1"/>
  <c r="F221" i="2"/>
  <c r="G221" i="2" s="1"/>
  <c r="F223" i="2"/>
  <c r="G223" i="2" s="1"/>
  <c r="F218" i="2"/>
  <c r="L18" i="3" l="1"/>
  <c r="G218" i="2"/>
  <c r="J165" i="1"/>
  <c r="J166" i="1"/>
  <c r="F14" i="4" l="1"/>
  <c r="C41" i="3" s="1"/>
  <c r="C50" i="3"/>
  <c r="C247" i="2"/>
  <c r="H119" i="1"/>
  <c r="H130" i="1"/>
  <c r="H36" i="1"/>
  <c r="G246" i="2" l="1"/>
  <c r="G247" i="2"/>
  <c r="G149" i="2"/>
  <c r="G217" i="2"/>
  <c r="I233" i="1" l="1"/>
  <c r="J136" i="1" l="1"/>
  <c r="J135" i="1" l="1"/>
  <c r="P386" i="1" s="1"/>
  <c r="H48" i="1"/>
  <c r="H45" i="1" l="1"/>
  <c r="H46" i="1"/>
  <c r="H47" i="1"/>
  <c r="F32" i="2" l="1"/>
  <c r="L23" i="1" l="1"/>
  <c r="G32" i="2"/>
  <c r="H209" i="1"/>
  <c r="H200" i="1"/>
  <c r="H163" i="1"/>
  <c r="H134" i="1"/>
  <c r="J169" i="1"/>
  <c r="H144" i="1"/>
  <c r="H172" i="1" l="1"/>
  <c r="H173" i="1"/>
  <c r="H210" i="1" l="1"/>
  <c r="H234" i="1" l="1"/>
  <c r="H233" i="1" s="1"/>
  <c r="H206" i="1"/>
  <c r="H205" i="1" s="1"/>
  <c r="H171" i="1"/>
  <c r="H196" i="1"/>
  <c r="H197" i="1"/>
  <c r="H170" i="1"/>
  <c r="H143" i="1"/>
  <c r="H157" i="1"/>
  <c r="H160" i="1"/>
  <c r="H142" i="1"/>
  <c r="H131" i="1"/>
  <c r="H169" i="1" l="1"/>
  <c r="M29" i="1" l="1"/>
  <c r="C443" i="2" s="1"/>
  <c r="F443" i="2" s="1"/>
  <c r="L29" i="1"/>
  <c r="C341" i="2" s="1"/>
  <c r="K29" i="1"/>
  <c r="C225" i="2" s="1"/>
  <c r="J29" i="1"/>
  <c r="H27" i="1"/>
  <c r="F225" i="2" l="1"/>
  <c r="G225" i="2" s="1"/>
  <c r="G443" i="2"/>
  <c r="H29" i="1"/>
  <c r="F341" i="2"/>
  <c r="G341" i="2" s="1"/>
  <c r="D14" i="4"/>
  <c r="C42" i="3" l="1"/>
  <c r="H14" i="4"/>
  <c r="C90" i="2"/>
  <c r="C89" i="2"/>
  <c r="C88" i="2" l="1"/>
  <c r="D42" i="3"/>
  <c r="C46" i="3"/>
  <c r="C47" i="3" s="1"/>
  <c r="C43" i="3"/>
  <c r="C82" i="2"/>
  <c r="M28" i="1"/>
  <c r="C442" i="2" s="1"/>
  <c r="F442" i="2" s="1"/>
  <c r="C340" i="2"/>
  <c r="J26" i="1"/>
  <c r="M30" i="1"/>
  <c r="C444" i="2" s="1"/>
  <c r="F444" i="2" s="1"/>
  <c r="L30" i="1"/>
  <c r="C342" i="2" s="1"/>
  <c r="F342" i="2" s="1"/>
  <c r="C224" i="2" l="1"/>
  <c r="K26" i="1"/>
  <c r="G444" i="2"/>
  <c r="G441" i="2"/>
  <c r="C436" i="2"/>
  <c r="F340" i="2"/>
  <c r="C334" i="2"/>
  <c r="C135" i="2"/>
  <c r="H28" i="1"/>
  <c r="H30" i="1"/>
  <c r="M46" i="3"/>
  <c r="L26" i="1"/>
  <c r="M26" i="1"/>
  <c r="C19" i="2"/>
  <c r="J205" i="1"/>
  <c r="C195" i="2" s="1"/>
  <c r="K205" i="1"/>
  <c r="L205" i="1"/>
  <c r="M205" i="1"/>
  <c r="G226" i="2" l="1"/>
  <c r="F224" i="2"/>
  <c r="C216" i="2"/>
  <c r="G340" i="2"/>
  <c r="G334" i="2" s="1"/>
  <c r="F334" i="2"/>
  <c r="G442" i="2"/>
  <c r="G436" i="2" s="1"/>
  <c r="F436" i="2"/>
  <c r="C456" i="2"/>
  <c r="C361" i="2"/>
  <c r="N26" i="1"/>
  <c r="C48" i="3"/>
  <c r="M48" i="3" s="1"/>
  <c r="M47" i="3"/>
  <c r="H26" i="1"/>
  <c r="I205" i="1"/>
  <c r="N205" i="1" s="1"/>
  <c r="J233" i="1"/>
  <c r="K233" i="1"/>
  <c r="L233" i="1"/>
  <c r="M233" i="1"/>
  <c r="F216" i="2" l="1"/>
  <c r="K37" i="1" s="1"/>
  <c r="O37" i="1" s="1"/>
  <c r="G224" i="2"/>
  <c r="G216" i="2" s="1"/>
  <c r="K38" i="1" s="1"/>
  <c r="F135" i="2"/>
  <c r="L18" i="1"/>
  <c r="H236" i="1"/>
  <c r="H20" i="1" s="1"/>
  <c r="C117" i="2"/>
  <c r="H237" i="1"/>
  <c r="K169" i="1"/>
  <c r="L169" i="1"/>
  <c r="M169" i="1"/>
  <c r="H201" i="1"/>
  <c r="D82" i="2"/>
  <c r="D32" i="2"/>
  <c r="O38" i="1" l="1"/>
  <c r="P37" i="1" s="1"/>
  <c r="N27" i="1"/>
  <c r="O134" i="2"/>
  <c r="O135" i="2" s="1"/>
  <c r="J37" i="1"/>
  <c r="J22" i="1" s="1"/>
  <c r="G135" i="2"/>
  <c r="N169" i="1"/>
  <c r="H202" i="1"/>
  <c r="F82" i="2"/>
  <c r="L410" i="1"/>
  <c r="H44" i="1"/>
  <c r="G19" i="2" l="1"/>
  <c r="J38" i="1"/>
  <c r="G82" i="2"/>
  <c r="J411" i="1" l="1"/>
  <c r="H38" i="1"/>
  <c r="J23" i="1"/>
  <c r="J18" i="1" s="1"/>
  <c r="J410" i="1" s="1"/>
  <c r="D12" i="4"/>
  <c r="C32" i="2"/>
  <c r="F6" i="11" l="1"/>
  <c r="F19" i="2" l="1"/>
  <c r="I22" i="1" l="1"/>
  <c r="H37" i="1"/>
  <c r="I18" i="1" l="1"/>
  <c r="I410" i="1" l="1"/>
  <c r="F234" i="2"/>
  <c r="C231" i="2"/>
  <c r="G241" i="2"/>
  <c r="G255" i="2"/>
  <c r="G250" i="2"/>
  <c r="G242" i="2"/>
  <c r="G238" i="2"/>
  <c r="G253" i="2"/>
  <c r="G240" i="2"/>
  <c r="G239" i="2"/>
  <c r="G234" i="2" l="1"/>
  <c r="G231" i="2" s="1"/>
  <c r="K136" i="1" s="1"/>
  <c r="F231" i="2"/>
  <c r="K135" i="1" l="1"/>
  <c r="N42" i="1" l="1"/>
  <c r="H253" i="1"/>
  <c r="F268" i="2" l="1"/>
  <c r="G268" i="2" l="1"/>
  <c r="H293" i="1"/>
  <c r="F306" i="2"/>
  <c r="G306" i="2" l="1"/>
  <c r="K139" i="1" l="1"/>
  <c r="N166" i="1" s="1"/>
  <c r="H139" i="1"/>
  <c r="F248" i="2"/>
  <c r="K165" i="1" l="1"/>
  <c r="G248" i="2"/>
  <c r="K166" i="1" s="1"/>
  <c r="H166" i="1" s="1"/>
  <c r="N139" i="1"/>
  <c r="C248" i="2"/>
  <c r="O164" i="1" l="1"/>
  <c r="P164" i="1" s="1"/>
  <c r="P166" i="1" s="1"/>
  <c r="H165" i="1"/>
  <c r="C457" i="2" l="1"/>
  <c r="H41" i="1"/>
  <c r="M41" i="1"/>
  <c r="N41" i="1" s="1"/>
  <c r="F457" i="2"/>
  <c r="M402" i="1" s="1"/>
  <c r="G458" i="2"/>
  <c r="G457" i="2" s="1"/>
  <c r="M136" i="1" l="1"/>
  <c r="M403" i="1"/>
  <c r="M135" i="1"/>
  <c r="M23" i="1" l="1"/>
  <c r="H136" i="1"/>
  <c r="H135" i="1"/>
  <c r="M22" i="1"/>
  <c r="M411" i="1"/>
  <c r="M18" i="1" l="1"/>
  <c r="M410" i="1" l="1"/>
  <c r="G267" i="2" l="1"/>
  <c r="K403" i="1" s="1"/>
  <c r="O397" i="1" l="1"/>
  <c r="K23" i="1"/>
  <c r="N23" i="1" s="1"/>
  <c r="H403" i="1"/>
  <c r="H413" i="1"/>
  <c r="H412" i="1" l="1"/>
  <c r="H23" i="1"/>
  <c r="F267" i="2"/>
  <c r="K402" i="1" l="1"/>
  <c r="K252" i="1" l="1"/>
  <c r="C267" i="2"/>
  <c r="K411" i="1"/>
  <c r="H402" i="1"/>
  <c r="O411" i="1"/>
  <c r="Q411" i="1" s="1"/>
  <c r="K22" i="1"/>
  <c r="N403" i="1"/>
  <c r="H22" i="1" l="1"/>
  <c r="H18" i="1" s="1"/>
  <c r="H410" i="1" s="1"/>
  <c r="H411" i="1"/>
  <c r="K18" i="1"/>
  <c r="N22" i="1"/>
  <c r="H252" i="1"/>
  <c r="H241" i="1" s="1"/>
  <c r="K241" i="1"/>
  <c r="N18" i="1" l="1"/>
  <c r="K410" i="1"/>
</calcChain>
</file>

<file path=xl/comments1.xml><?xml version="1.0" encoding="utf-8"?>
<comments xmlns="http://schemas.openxmlformats.org/spreadsheetml/2006/main">
  <authors>
    <author>Автор</author>
  </authors>
  <commentList>
    <comment ref="B22" authorId="0">
      <text>
        <r>
          <rPr>
            <b/>
            <sz val="9"/>
            <color indexed="81"/>
            <rFont val="Tahoma"/>
            <family val="2"/>
            <charset val="204"/>
          </rPr>
          <t>Автор:</t>
        </r>
        <r>
          <rPr>
            <sz val="9"/>
            <color indexed="81"/>
            <rFont val="Tahoma"/>
            <family val="2"/>
            <charset val="204"/>
          </rPr>
          <t xml:space="preserve">
включая бюджет Орловской области
</t>
        </r>
      </text>
    </comment>
    <comment ref="F25" authorId="0">
      <text>
        <r>
          <rPr>
            <b/>
            <sz val="9"/>
            <color indexed="81"/>
            <rFont val="Tahoma"/>
            <family val="2"/>
            <charset val="204"/>
          </rPr>
          <t>Автор:</t>
        </r>
        <r>
          <rPr>
            <sz val="9"/>
            <color indexed="81"/>
            <rFont val="Tahoma"/>
            <family val="2"/>
            <charset val="204"/>
          </rPr>
          <t xml:space="preserve">
+площ.1530кв.м площадь по Калинникова</t>
        </r>
      </text>
    </comment>
    <comment ref="I27" authorId="0">
      <text>
        <r>
          <rPr>
            <b/>
            <sz val="9"/>
            <color indexed="81"/>
            <rFont val="Tahoma"/>
            <family val="2"/>
            <charset val="204"/>
          </rPr>
          <t>Автор:</t>
        </r>
        <r>
          <rPr>
            <sz val="9"/>
            <color indexed="81"/>
            <rFont val="Tahoma"/>
            <family val="2"/>
            <charset val="204"/>
          </rPr>
          <t xml:space="preserve">
146 тысяч это разница между 300-500 лимитов
</t>
        </r>
      </text>
    </comment>
    <comment ref="J27" authorId="0">
      <text>
        <r>
          <rPr>
            <b/>
            <sz val="9"/>
            <color indexed="81"/>
            <rFont val="Tahoma"/>
            <family val="2"/>
            <charset val="204"/>
          </rPr>
          <t>Автор:</t>
        </r>
        <r>
          <rPr>
            <sz val="9"/>
            <color indexed="81"/>
            <rFont val="Tahoma"/>
            <family val="2"/>
            <charset val="204"/>
          </rPr>
          <t xml:space="preserve">
2 293,87169 ограждения мост Дружба ГОРОД
минус кредиторка
42 906 060,61 по РАСПОРЯЖЕНИЮ ОБЛАСТИ ДОП на Содержание (САБ)
</t>
        </r>
      </text>
    </comment>
    <comment ref="I28" authorId="0">
      <text>
        <r>
          <rPr>
            <b/>
            <sz val="9"/>
            <color indexed="81"/>
            <rFont val="Tahoma"/>
            <family val="2"/>
            <charset val="204"/>
          </rPr>
          <t>Автор:</t>
        </r>
        <r>
          <rPr>
            <sz val="9"/>
            <color indexed="81"/>
            <rFont val="Tahoma"/>
            <family val="2"/>
            <charset val="204"/>
          </rPr>
          <t xml:space="preserve">
КЗ 675,88936</t>
        </r>
      </text>
    </comment>
    <comment ref="J28" authorId="0">
      <text>
        <r>
          <rPr>
            <b/>
            <sz val="9"/>
            <color indexed="81"/>
            <rFont val="Tahoma"/>
            <family val="2"/>
            <charset val="204"/>
          </rPr>
          <t>Автор:</t>
        </r>
        <r>
          <rPr>
            <sz val="9"/>
            <color indexed="81"/>
            <rFont val="Tahoma"/>
            <family val="2"/>
            <charset val="204"/>
          </rPr>
          <t xml:space="preserve">
2005,200-дор.фонд на Калинникова с МП 2 на МП 1 в ямочный ремонт</t>
        </r>
      </text>
    </comment>
    <comment ref="I29" authorId="0">
      <text>
        <r>
          <rPr>
            <b/>
            <sz val="9"/>
            <color indexed="81"/>
            <rFont val="Tahoma"/>
            <family val="2"/>
            <charset val="204"/>
          </rPr>
          <t>Автор:</t>
        </r>
        <r>
          <rPr>
            <sz val="9"/>
            <color indexed="81"/>
            <rFont val="Tahoma"/>
            <family val="2"/>
            <charset val="204"/>
          </rPr>
          <t xml:space="preserve">
сумма по факту, 
28 ед.</t>
        </r>
      </text>
    </comment>
    <comment ref="J29" authorId="0">
      <text>
        <r>
          <rPr>
            <b/>
            <sz val="9"/>
            <color indexed="81"/>
            <rFont val="Tahoma"/>
            <family val="2"/>
            <charset val="204"/>
          </rPr>
          <t>Автор:</t>
        </r>
        <r>
          <rPr>
            <sz val="9"/>
            <color indexed="81"/>
            <rFont val="Tahoma"/>
            <family val="2"/>
            <charset val="204"/>
          </rPr>
          <t xml:space="preserve">
17 ед.</t>
        </r>
      </text>
    </comment>
    <comment ref="I30" authorId="0">
      <text>
        <r>
          <rPr>
            <b/>
            <sz val="9"/>
            <color indexed="81"/>
            <rFont val="Tahoma"/>
            <family val="2"/>
            <charset val="204"/>
          </rPr>
          <t>Автор:</t>
        </r>
        <r>
          <rPr>
            <sz val="9"/>
            <color indexed="81"/>
            <rFont val="Tahoma"/>
            <family val="2"/>
            <charset val="204"/>
          </rPr>
          <t xml:space="preserve">
КЗ 8185,81010;
11 313 сняты в пользу остановок;
забрали только 5205,840 Заречка</t>
        </r>
      </text>
    </comment>
    <comment ref="J30" authorId="0">
      <text>
        <r>
          <rPr>
            <b/>
            <sz val="9"/>
            <color indexed="81"/>
            <rFont val="Tahoma"/>
            <family val="2"/>
            <charset val="204"/>
          </rPr>
          <t>Автор:</t>
        </r>
        <r>
          <rPr>
            <sz val="9"/>
            <color indexed="81"/>
            <rFont val="Tahoma"/>
            <family val="2"/>
            <charset val="204"/>
          </rPr>
          <t xml:space="preserve">
25 000-камеры 170шт.+ПО
2 708,102 и 2 876,648 на светофоры Пионерская
6 437,0173 информационная безопасность (ФСБ)</t>
        </r>
      </text>
    </comment>
    <comment ref="K31" authorId="0">
      <text>
        <r>
          <rPr>
            <b/>
            <sz val="9"/>
            <color indexed="81"/>
            <rFont val="Tahoma"/>
            <family val="2"/>
            <charset val="204"/>
          </rPr>
          <t>Автор:</t>
        </r>
        <r>
          <rPr>
            <sz val="9"/>
            <color indexed="81"/>
            <rFont val="Tahoma"/>
            <family val="2"/>
            <charset val="204"/>
          </rPr>
          <t xml:space="preserve">
городские деньги, сумма по контракту</t>
        </r>
      </text>
    </comment>
    <comment ref="I32" authorId="0">
      <text>
        <r>
          <rPr>
            <b/>
            <sz val="9"/>
            <color indexed="81"/>
            <rFont val="Tahoma"/>
            <family val="2"/>
            <charset val="204"/>
          </rPr>
          <t>Автор:</t>
        </r>
        <r>
          <rPr>
            <sz val="9"/>
            <color indexed="81"/>
            <rFont val="Tahoma"/>
            <family val="2"/>
            <charset val="204"/>
          </rPr>
          <t xml:space="preserve">
777,70869 сняты в пользу остановок на регламентные 
(12 090,840 руб.)</t>
        </r>
      </text>
    </comment>
    <comment ref="J32" authorId="0">
      <text>
        <r>
          <rPr>
            <b/>
            <sz val="9"/>
            <color indexed="81"/>
            <rFont val="Tahoma"/>
            <family val="2"/>
            <charset val="204"/>
          </rPr>
          <t>Автор:</t>
        </r>
        <r>
          <rPr>
            <sz val="9"/>
            <color indexed="81"/>
            <rFont val="Tahoma"/>
            <family val="2"/>
            <charset val="204"/>
          </rPr>
          <t xml:space="preserve">
14000-освещение подмостовых пространств
+Зеленстрой
+ освещение к подходам мостов
</t>
        </r>
      </text>
    </comment>
    <comment ref="I33" authorId="0">
      <text>
        <r>
          <rPr>
            <b/>
            <sz val="9"/>
            <color indexed="81"/>
            <rFont val="Tahoma"/>
            <family val="2"/>
            <charset val="204"/>
          </rPr>
          <t>Автор:</t>
        </r>
        <r>
          <rPr>
            <sz val="9"/>
            <color indexed="81"/>
            <rFont val="Tahoma"/>
            <family val="2"/>
            <charset val="204"/>
          </rPr>
          <t xml:space="preserve">
мосты по факту: Ботаника, Костамаровский и вантовый на Горького</t>
        </r>
      </text>
    </comment>
    <comment ref="K34" authorId="0">
      <text>
        <r>
          <rPr>
            <b/>
            <sz val="9"/>
            <color indexed="81"/>
            <rFont val="Tahoma"/>
            <family val="2"/>
            <charset val="204"/>
          </rPr>
          <t>Автор:
89 172,44936-кред.задолженность САБ</t>
        </r>
      </text>
    </comment>
    <comment ref="B44" authorId="0">
      <text>
        <r>
          <rPr>
            <b/>
            <sz val="9"/>
            <color indexed="81"/>
            <rFont val="Tahoma"/>
            <family val="2"/>
            <charset val="204"/>
          </rPr>
          <t>Автор:</t>
        </r>
        <r>
          <rPr>
            <sz val="9"/>
            <color indexed="81"/>
            <rFont val="Tahoma"/>
            <family val="2"/>
            <charset val="204"/>
          </rPr>
          <t xml:space="preserve">
перильные ограждения</t>
        </r>
      </text>
    </comment>
    <comment ref="I44" authorId="0">
      <text>
        <r>
          <rPr>
            <b/>
            <sz val="9"/>
            <color indexed="81"/>
            <rFont val="Tahoma"/>
            <family val="2"/>
            <charset val="204"/>
          </rPr>
          <t>Автор:</t>
        </r>
        <r>
          <rPr>
            <sz val="9"/>
            <color indexed="81"/>
            <rFont val="Tahoma"/>
            <family val="2"/>
            <charset val="204"/>
          </rPr>
          <t xml:space="preserve">
цифра по экспертизе
12 505,79 ФАКТ 2022 года</t>
        </r>
      </text>
    </comment>
    <comment ref="F47" authorId="0">
      <text>
        <r>
          <rPr>
            <b/>
            <sz val="9"/>
            <color indexed="81"/>
            <rFont val="Tahoma"/>
            <family val="2"/>
            <charset val="204"/>
          </rPr>
          <t>Автор:</t>
        </r>
        <r>
          <rPr>
            <sz val="9"/>
            <color indexed="81"/>
            <rFont val="Tahoma"/>
            <family val="2"/>
            <charset val="204"/>
          </rPr>
          <t xml:space="preserve">
асфальт по протяженности 970 метров, две полосы в одну сторону</t>
        </r>
      </text>
    </comment>
    <comment ref="G47" authorId="0">
      <text>
        <r>
          <rPr>
            <b/>
            <sz val="9"/>
            <color indexed="81"/>
            <rFont val="Tahoma"/>
            <family val="2"/>
            <charset val="204"/>
          </rPr>
          <t>Автор:</t>
        </r>
        <r>
          <rPr>
            <sz val="9"/>
            <color indexed="81"/>
            <rFont val="Tahoma"/>
            <family val="2"/>
            <charset val="204"/>
          </rPr>
          <t xml:space="preserve">
протяженность первого этапа</t>
        </r>
      </text>
    </comment>
    <comment ref="I57" authorId="0">
      <text>
        <r>
          <rPr>
            <b/>
            <sz val="9"/>
            <color indexed="81"/>
            <rFont val="Tahoma"/>
            <family val="2"/>
            <charset val="204"/>
          </rPr>
          <t>Автор:</t>
        </r>
        <r>
          <rPr>
            <sz val="9"/>
            <color indexed="81"/>
            <rFont val="Tahoma"/>
            <family val="2"/>
            <charset val="204"/>
          </rPr>
          <t xml:space="preserve">
перенесено в незадействованный остаток</t>
        </r>
      </text>
    </comment>
    <comment ref="B58" authorId="0">
      <text>
        <r>
          <rPr>
            <b/>
            <sz val="9"/>
            <color indexed="81"/>
            <rFont val="Tahoma"/>
            <family val="2"/>
            <charset val="204"/>
          </rPr>
          <t>Автор:</t>
        </r>
        <r>
          <rPr>
            <sz val="9"/>
            <color indexed="81"/>
            <rFont val="Tahoma"/>
            <family val="2"/>
            <charset val="204"/>
          </rPr>
          <t xml:space="preserve">
ОМЗ</t>
        </r>
      </text>
    </comment>
    <comment ref="B59" authorId="0">
      <text>
        <r>
          <rPr>
            <b/>
            <sz val="9"/>
            <color indexed="81"/>
            <rFont val="Tahoma"/>
            <family val="2"/>
            <charset val="204"/>
          </rPr>
          <t>Автор:</t>
        </r>
        <r>
          <rPr>
            <sz val="9"/>
            <color indexed="81"/>
            <rFont val="Tahoma"/>
            <family val="2"/>
            <charset val="204"/>
          </rPr>
          <t xml:space="preserve">
ОМЗ</t>
        </r>
      </text>
    </comment>
    <comment ref="B119" authorId="0">
      <text>
        <r>
          <rPr>
            <b/>
            <sz val="9"/>
            <color indexed="81"/>
            <rFont val="Tahoma"/>
            <family val="2"/>
            <charset val="204"/>
          </rPr>
          <t>Автор:</t>
        </r>
        <r>
          <rPr>
            <sz val="9"/>
            <color indexed="81"/>
            <rFont val="Tahoma"/>
            <family val="2"/>
            <charset val="204"/>
          </rPr>
          <t xml:space="preserve">
проезжая часть</t>
        </r>
      </text>
    </comment>
    <comment ref="B120" authorId="0">
      <text>
        <r>
          <rPr>
            <b/>
            <sz val="9"/>
            <color indexed="81"/>
            <rFont val="Tahoma"/>
            <family val="2"/>
            <charset val="204"/>
          </rPr>
          <t>Автор:</t>
        </r>
        <r>
          <rPr>
            <sz val="9"/>
            <color indexed="81"/>
            <rFont val="Tahoma"/>
            <family val="2"/>
            <charset val="204"/>
          </rPr>
          <t xml:space="preserve">
решение суда</t>
        </r>
      </text>
    </comment>
    <comment ref="I127" authorId="0">
      <text>
        <r>
          <rPr>
            <b/>
            <sz val="9"/>
            <color indexed="81"/>
            <rFont val="Tahoma"/>
            <family val="2"/>
            <charset val="204"/>
          </rPr>
          <t>Автор:</t>
        </r>
        <r>
          <rPr>
            <sz val="9"/>
            <color indexed="81"/>
            <rFont val="Tahoma"/>
            <family val="2"/>
            <charset val="204"/>
          </rPr>
          <t xml:space="preserve">
две КС
7273,870798 оплачено
12 млн. оплачено</t>
        </r>
      </text>
    </comment>
    <comment ref="I130" authorId="0">
      <text>
        <r>
          <rPr>
            <b/>
            <sz val="9"/>
            <color indexed="81"/>
            <rFont val="Tahoma"/>
            <family val="2"/>
            <charset val="204"/>
          </rPr>
          <t>Автор:</t>
        </r>
        <r>
          <rPr>
            <sz val="9"/>
            <color indexed="81"/>
            <rFont val="Tahoma"/>
            <family val="2"/>
            <charset val="204"/>
          </rPr>
          <t xml:space="preserve">
тротуары МОПРа+ул.Генерала армии Ковалева+БШ 2 этап оплаченная КС
</t>
        </r>
      </text>
    </comment>
    <comment ref="I131" authorId="0">
      <text>
        <r>
          <rPr>
            <b/>
            <sz val="9"/>
            <color indexed="81"/>
            <rFont val="Tahoma"/>
            <family val="2"/>
            <charset val="204"/>
          </rPr>
          <t>Автор:</t>
        </r>
        <r>
          <rPr>
            <sz val="9"/>
            <color indexed="81"/>
            <rFont val="Tahoma"/>
            <family val="2"/>
            <charset val="204"/>
          </rPr>
          <t xml:space="preserve">
минус общая сумма по светофорам;
минус 7962,80067 по распоряжению 935-р от 29.11.2022 на регламентные МП 1
1052,43926 ФАКТ ПСД</t>
        </r>
      </text>
    </comment>
    <comment ref="J131" authorId="0">
      <text>
        <r>
          <rPr>
            <b/>
            <sz val="9"/>
            <color indexed="81"/>
            <rFont val="Tahoma"/>
            <family val="2"/>
            <charset val="204"/>
          </rPr>
          <t>Автор:</t>
        </r>
        <r>
          <rPr>
            <sz val="9"/>
            <color indexed="81"/>
            <rFont val="Tahoma"/>
            <family val="2"/>
            <charset val="204"/>
          </rPr>
          <t xml:space="preserve">
на тротуары по ул.Революции №29</t>
        </r>
      </text>
    </comment>
    <comment ref="I132" authorId="0">
      <text>
        <r>
          <rPr>
            <b/>
            <sz val="9"/>
            <color indexed="81"/>
            <rFont val="Tahoma"/>
            <family val="2"/>
            <charset val="204"/>
          </rPr>
          <t>Автор:</t>
        </r>
        <r>
          <rPr>
            <sz val="9"/>
            <color indexed="81"/>
            <rFont val="Tahoma"/>
            <family val="2"/>
            <charset val="204"/>
          </rPr>
          <t xml:space="preserve">
Тургеневский мост
ул.Мостовая
Генерала Родина
Наугорское шоссе
Кромской прое;зд
ул.Базовая
перенесены 15 000,00 тыс.рублей устройство остановочных павильонов</t>
        </r>
      </text>
    </comment>
    <comment ref="J145" authorId="0">
      <text>
        <r>
          <rPr>
            <b/>
            <sz val="9"/>
            <color indexed="81"/>
            <rFont val="Tahoma"/>
            <family val="2"/>
            <charset val="204"/>
          </rPr>
          <t>Автор:</t>
        </r>
        <r>
          <rPr>
            <sz val="9"/>
            <color indexed="81"/>
            <rFont val="Tahoma"/>
            <family val="2"/>
            <charset val="204"/>
          </rPr>
          <t xml:space="preserve">
сумма по контракту
</t>
        </r>
      </text>
    </comment>
    <comment ref="I166" authorId="0">
      <text>
        <r>
          <rPr>
            <b/>
            <sz val="9"/>
            <color indexed="81"/>
            <rFont val="Tahoma"/>
            <family val="2"/>
            <charset val="204"/>
          </rPr>
          <t>Автор:</t>
        </r>
        <r>
          <rPr>
            <sz val="9"/>
            <color indexed="81"/>
            <rFont val="Tahoma"/>
            <family val="2"/>
            <charset val="204"/>
          </rPr>
          <t xml:space="preserve">
КЗ 173 595,14 руб.</t>
        </r>
      </text>
    </comment>
    <comment ref="B169" authorId="0">
      <text>
        <r>
          <rPr>
            <b/>
            <sz val="9"/>
            <color indexed="81"/>
            <rFont val="Tahoma"/>
            <family val="2"/>
            <charset val="204"/>
          </rPr>
          <t>Автор:</t>
        </r>
        <r>
          <rPr>
            <sz val="9"/>
            <color indexed="81"/>
            <rFont val="Tahoma"/>
            <family val="2"/>
            <charset val="204"/>
          </rPr>
          <t xml:space="preserve">
сфетофоры</t>
        </r>
      </text>
    </comment>
    <comment ref="B189" authorId="0">
      <text>
        <r>
          <rPr>
            <b/>
            <sz val="9"/>
            <color indexed="81"/>
            <rFont val="Tahoma"/>
            <family val="2"/>
            <charset val="204"/>
          </rPr>
          <t>Автор:</t>
        </r>
        <r>
          <rPr>
            <sz val="9"/>
            <color indexed="81"/>
            <rFont val="Tahoma"/>
            <family val="2"/>
            <charset val="204"/>
          </rPr>
          <t xml:space="preserve">
ИКСИС
</t>
        </r>
      </text>
    </comment>
    <comment ref="I195" authorId="0">
      <text>
        <r>
          <rPr>
            <b/>
            <sz val="9"/>
            <color indexed="81"/>
            <rFont val="Tahoma"/>
            <family val="2"/>
            <charset val="204"/>
          </rPr>
          <t>Автор:</t>
        </r>
        <r>
          <rPr>
            <sz val="9"/>
            <color indexed="81"/>
            <rFont val="Tahoma"/>
            <family val="2"/>
            <charset val="204"/>
          </rPr>
          <t xml:space="preserve">
сняли с освещения Молдавки</t>
        </r>
      </text>
    </comment>
    <comment ref="J195" authorId="0">
      <text>
        <r>
          <rPr>
            <b/>
            <sz val="9"/>
            <color indexed="81"/>
            <rFont val="Tahoma"/>
            <family val="2"/>
            <charset val="204"/>
          </rPr>
          <t>Автор:</t>
        </r>
        <r>
          <rPr>
            <sz val="9"/>
            <color indexed="81"/>
            <rFont val="Tahoma"/>
            <family val="2"/>
            <charset val="204"/>
          </rPr>
          <t xml:space="preserve">
двигали деньги
</t>
        </r>
      </text>
    </comment>
    <comment ref="K205" authorId="0">
      <text>
        <r>
          <rPr>
            <b/>
            <sz val="9"/>
            <color indexed="81"/>
            <rFont val="Tahoma"/>
            <family val="2"/>
            <charset val="204"/>
          </rPr>
          <t>Автор:</t>
        </r>
        <r>
          <rPr>
            <sz val="9"/>
            <color indexed="81"/>
            <rFont val="Tahoma"/>
            <family val="2"/>
            <charset val="204"/>
          </rPr>
          <t xml:space="preserve">
не было город.доли</t>
        </r>
      </text>
    </comment>
    <comment ref="J209" authorId="0">
      <text>
        <r>
          <rPr>
            <b/>
            <sz val="9"/>
            <color indexed="81"/>
            <rFont val="Tahoma"/>
            <family val="2"/>
            <charset val="204"/>
          </rPr>
          <t>Автор:</t>
        </r>
        <r>
          <rPr>
            <sz val="9"/>
            <color indexed="81"/>
            <rFont val="Tahoma"/>
            <family val="2"/>
            <charset val="204"/>
          </rPr>
          <t xml:space="preserve">
письмо Департамента от 09.01.2023 исх.5-1-15 (вх.44)</t>
        </r>
      </text>
    </comment>
    <comment ref="J210" authorId="0">
      <text>
        <r>
          <rPr>
            <b/>
            <sz val="9"/>
            <color indexed="81"/>
            <rFont val="Tahoma"/>
            <family val="2"/>
            <charset val="204"/>
          </rPr>
          <t>Автор:</t>
        </r>
        <r>
          <rPr>
            <sz val="9"/>
            <color indexed="81"/>
            <rFont val="Tahoma"/>
            <family val="2"/>
            <charset val="204"/>
          </rPr>
          <t xml:space="preserve">
письмо ОМЗ, законтрактовано на 25тысяч меньше, отзыв</t>
        </r>
      </text>
    </comment>
    <comment ref="I218" authorId="0">
      <text>
        <r>
          <rPr>
            <b/>
            <sz val="9"/>
            <color indexed="81"/>
            <rFont val="Tahoma"/>
            <family val="2"/>
            <charset val="204"/>
          </rPr>
          <t>Автор:</t>
        </r>
        <r>
          <rPr>
            <sz val="9"/>
            <color indexed="81"/>
            <rFont val="Tahoma"/>
            <family val="2"/>
            <charset val="204"/>
          </rPr>
          <t xml:space="preserve">
1779 это деньги город с Красного моста
400-нанесение дорож.разметки в МП 4
800-на светофор Генерала Родина и Труд.резервы 
890,984-разница с ул.Генерала Ковалева по факту  под контракт
1361,583 под контракт ФАКТ</t>
        </r>
      </text>
    </comment>
    <comment ref="L222" authorId="0">
      <text>
        <r>
          <rPr>
            <b/>
            <sz val="9"/>
            <color indexed="81"/>
            <rFont val="Tahoma"/>
            <family val="2"/>
            <charset val="204"/>
          </rPr>
          <t>Автор:</t>
        </r>
        <r>
          <rPr>
            <sz val="9"/>
            <color indexed="81"/>
            <rFont val="Tahoma"/>
            <family val="2"/>
            <charset val="204"/>
          </rPr>
          <t xml:space="preserve">
письмо ОМЗ от 26.05.2023 определена пред.стоимость объекта 25,35 млн  руб.</t>
        </r>
      </text>
    </comment>
    <comment ref="I236" authorId="0">
      <text>
        <r>
          <rPr>
            <b/>
            <sz val="9"/>
            <color indexed="81"/>
            <rFont val="Tahoma"/>
            <family val="2"/>
            <charset val="204"/>
          </rPr>
          <t>Автор:</t>
        </r>
        <r>
          <rPr>
            <sz val="9"/>
            <color indexed="81"/>
            <rFont val="Tahoma"/>
            <family val="2"/>
            <charset val="204"/>
          </rPr>
          <t xml:space="preserve">
размер межбюдж.трансферта по соглашению</t>
        </r>
      </text>
    </comment>
    <comment ref="J236" authorId="0">
      <text>
        <r>
          <rPr>
            <b/>
            <sz val="12"/>
            <color indexed="81"/>
            <rFont val="Tahoma"/>
            <family val="2"/>
            <charset val="204"/>
          </rPr>
          <t>Автор:</t>
        </r>
        <r>
          <rPr>
            <sz val="12"/>
            <color indexed="81"/>
            <rFont val="Tahoma"/>
            <family val="2"/>
            <charset val="204"/>
          </rPr>
          <t xml:space="preserve">
ДОП.фед.денег по письму от 12.10.2023 50+665,5328</t>
        </r>
      </text>
    </comment>
    <comment ref="I237" authorId="0">
      <text>
        <r>
          <rPr>
            <b/>
            <sz val="9"/>
            <color indexed="81"/>
            <rFont val="Tahoma"/>
            <family val="2"/>
            <charset val="204"/>
          </rPr>
          <t>Автор:</t>
        </r>
        <r>
          <rPr>
            <sz val="9"/>
            <color indexed="81"/>
            <rFont val="Tahoma"/>
            <family val="2"/>
            <charset val="204"/>
          </rPr>
          <t xml:space="preserve">
увеличение по сз от 21.10.2022 № 4463 ОМЗ</t>
        </r>
      </text>
    </comment>
    <comment ref="J237" authorId="0">
      <text>
        <r>
          <rPr>
            <b/>
            <sz val="11"/>
            <color indexed="81"/>
            <rFont val="Tahoma"/>
            <family val="2"/>
            <charset val="204"/>
          </rPr>
          <t>Автор:</t>
        </r>
        <r>
          <rPr>
            <sz val="11"/>
            <color indexed="81"/>
            <rFont val="Tahoma"/>
            <family val="2"/>
            <charset val="204"/>
          </rPr>
          <t xml:space="preserve">
согласно распоряжению от 25.01.2023 №40-р доведены лимиты в размере 1 036 243,5
Согласно письму от 12.10.2023 областные деньги замещаются федеральными </t>
        </r>
      </text>
    </comment>
    <comment ref="K237" authorId="0">
      <text>
        <r>
          <rPr>
            <b/>
            <sz val="11"/>
            <color indexed="81"/>
            <rFont val="Tahoma"/>
            <family val="2"/>
            <charset val="204"/>
          </rPr>
          <t>Автор:</t>
        </r>
        <r>
          <rPr>
            <sz val="11"/>
            <color indexed="81"/>
            <rFont val="Tahoma"/>
            <family val="2"/>
            <charset val="204"/>
          </rPr>
          <t xml:space="preserve">
распоряжение от 29.06.2023 №415-р
часть суммы перенесли на 2023 год по согласованию с Субботиным
80 143,19533 по Доп.соглашению №1
по письму от 12.10.2023 2024 год снимают</t>
        </r>
      </text>
    </comment>
    <comment ref="I238" authorId="0">
      <text>
        <r>
          <rPr>
            <b/>
            <sz val="9"/>
            <color indexed="81"/>
            <rFont val="Tahoma"/>
            <family val="2"/>
            <charset val="204"/>
          </rPr>
          <t>Автор:</t>
        </r>
        <r>
          <rPr>
            <sz val="9"/>
            <color indexed="81"/>
            <rFont val="Tahoma"/>
            <family val="2"/>
            <charset val="204"/>
          </rPr>
          <t xml:space="preserve">
5134,7-городские деньги на Красный мост, софинансирование 1%, довели больше
461,87354 город.доля по распоряжению </t>
        </r>
      </text>
    </comment>
    <comment ref="J238" authorId="0">
      <text>
        <r>
          <rPr>
            <b/>
            <sz val="9"/>
            <color indexed="81"/>
            <rFont val="Tahoma"/>
            <family val="2"/>
            <charset val="204"/>
          </rPr>
          <t>Автор:</t>
        </r>
        <r>
          <rPr>
            <sz val="9"/>
            <color indexed="81"/>
            <rFont val="Tahoma"/>
            <family val="2"/>
            <charset val="204"/>
          </rPr>
          <t xml:space="preserve">
1% софинанс города</t>
        </r>
      </text>
    </comment>
    <comment ref="G245" authorId="0">
      <text>
        <r>
          <rPr>
            <b/>
            <sz val="9"/>
            <color indexed="81"/>
            <rFont val="Tahoma"/>
            <family val="2"/>
            <charset val="204"/>
          </rPr>
          <t>Автор:</t>
        </r>
        <r>
          <rPr>
            <sz val="9"/>
            <color indexed="81"/>
            <rFont val="Tahoma"/>
            <family val="2"/>
            <charset val="204"/>
          </rPr>
          <t xml:space="preserve">
факт
</t>
        </r>
      </text>
    </comment>
    <comment ref="J245" authorId="0">
      <text>
        <r>
          <rPr>
            <b/>
            <sz val="9"/>
            <color indexed="81"/>
            <rFont val="Tahoma"/>
            <family val="2"/>
            <charset val="204"/>
          </rPr>
          <t>Автор:</t>
        </r>
        <r>
          <rPr>
            <sz val="9"/>
            <color indexed="81"/>
            <rFont val="Tahoma"/>
            <family val="2"/>
            <charset val="204"/>
          </rPr>
          <t xml:space="preserve">
факт</t>
        </r>
      </text>
    </comment>
    <comment ref="G246" authorId="0">
      <text>
        <r>
          <rPr>
            <b/>
            <sz val="9"/>
            <color indexed="81"/>
            <rFont val="Tahoma"/>
            <family val="2"/>
            <charset val="204"/>
          </rPr>
          <t>Автор:</t>
        </r>
        <r>
          <rPr>
            <sz val="9"/>
            <color indexed="81"/>
            <rFont val="Tahoma"/>
            <family val="2"/>
            <charset val="204"/>
          </rPr>
          <t xml:space="preserve">
факт</t>
        </r>
      </text>
    </comment>
    <comment ref="J246" authorId="0">
      <text>
        <r>
          <rPr>
            <b/>
            <sz val="9"/>
            <color indexed="81"/>
            <rFont val="Tahoma"/>
            <family val="2"/>
            <charset val="204"/>
          </rPr>
          <t>Автор:</t>
        </r>
        <r>
          <rPr>
            <sz val="9"/>
            <color indexed="81"/>
            <rFont val="Tahoma"/>
            <family val="2"/>
            <charset val="204"/>
          </rPr>
          <t xml:space="preserve">
факт</t>
        </r>
      </text>
    </comment>
    <comment ref="G247" authorId="0">
      <text>
        <r>
          <rPr>
            <b/>
            <sz val="9"/>
            <color indexed="81"/>
            <rFont val="Tahoma"/>
            <family val="2"/>
            <charset val="204"/>
          </rPr>
          <t>Автор:</t>
        </r>
        <r>
          <rPr>
            <sz val="9"/>
            <color indexed="81"/>
            <rFont val="Tahoma"/>
            <family val="2"/>
            <charset val="204"/>
          </rPr>
          <t xml:space="preserve">
факт</t>
        </r>
      </text>
    </comment>
    <comment ref="J247" authorId="0">
      <text>
        <r>
          <rPr>
            <b/>
            <sz val="9"/>
            <color indexed="81"/>
            <rFont val="Tahoma"/>
            <family val="2"/>
            <charset val="204"/>
          </rPr>
          <t>Автор:</t>
        </r>
        <r>
          <rPr>
            <sz val="9"/>
            <color indexed="81"/>
            <rFont val="Tahoma"/>
            <family val="2"/>
            <charset val="204"/>
          </rPr>
          <t xml:space="preserve">
факт</t>
        </r>
      </text>
    </comment>
    <comment ref="G248" authorId="0">
      <text>
        <r>
          <rPr>
            <b/>
            <sz val="9"/>
            <color indexed="81"/>
            <rFont val="Tahoma"/>
            <family val="2"/>
            <charset val="204"/>
          </rPr>
          <t>Автор:</t>
        </r>
        <r>
          <rPr>
            <sz val="9"/>
            <color indexed="81"/>
            <rFont val="Tahoma"/>
            <family val="2"/>
            <charset val="204"/>
          </rPr>
          <t xml:space="preserve">
факт</t>
        </r>
      </text>
    </comment>
    <comment ref="J248" authorId="0">
      <text>
        <r>
          <rPr>
            <b/>
            <sz val="9"/>
            <color indexed="81"/>
            <rFont val="Tahoma"/>
            <family val="2"/>
            <charset val="204"/>
          </rPr>
          <t>Автор:</t>
        </r>
        <r>
          <rPr>
            <sz val="9"/>
            <color indexed="81"/>
            <rFont val="Tahoma"/>
            <family val="2"/>
            <charset val="204"/>
          </rPr>
          <t xml:space="preserve">
факт</t>
        </r>
      </text>
    </comment>
    <comment ref="B251" authorId="0">
      <text>
        <r>
          <rPr>
            <b/>
            <sz val="9"/>
            <color indexed="81"/>
            <rFont val="Tahoma"/>
            <family val="2"/>
            <charset val="204"/>
          </rPr>
          <t>Автор:</t>
        </r>
        <r>
          <rPr>
            <sz val="9"/>
            <color indexed="81"/>
            <rFont val="Tahoma"/>
            <family val="2"/>
            <charset val="204"/>
          </rPr>
          <t xml:space="preserve">
дорога дублер</t>
        </r>
      </text>
    </comment>
    <comment ref="F253" authorId="0">
      <text>
        <r>
          <rPr>
            <b/>
            <sz val="9"/>
            <color indexed="81"/>
            <rFont val="Tahoma"/>
            <family val="2"/>
            <charset val="204"/>
          </rPr>
          <t>Автор:</t>
        </r>
        <r>
          <rPr>
            <sz val="9"/>
            <color indexed="81"/>
            <rFont val="Tahoma"/>
            <family val="2"/>
            <charset val="204"/>
          </rPr>
          <t xml:space="preserve">
цифру дал Митряев</t>
        </r>
      </text>
    </comment>
    <comment ref="K253" authorId="0">
      <text>
        <r>
          <rPr>
            <b/>
            <sz val="9"/>
            <color indexed="81"/>
            <rFont val="Tahoma"/>
            <family val="2"/>
            <charset val="204"/>
          </rPr>
          <t>Автор:</t>
        </r>
        <r>
          <rPr>
            <sz val="9"/>
            <color indexed="81"/>
            <rFont val="Tahoma"/>
            <family val="2"/>
            <charset val="204"/>
          </rPr>
          <t xml:space="preserve">
по распоряжению 101-р от 19.02.2024 перенесли с МП 3 на МП 8</t>
        </r>
      </text>
    </comment>
    <comment ref="B256" authorId="0">
      <text>
        <r>
          <rPr>
            <b/>
            <sz val="9"/>
            <color indexed="81"/>
            <rFont val="Tahoma"/>
            <family val="2"/>
            <charset val="204"/>
          </rPr>
          <t>Автор:</t>
        </r>
        <r>
          <rPr>
            <sz val="9"/>
            <color indexed="81"/>
            <rFont val="Tahoma"/>
            <family val="2"/>
            <charset val="204"/>
          </rPr>
          <t xml:space="preserve">
в обе стороны
</t>
        </r>
      </text>
    </comment>
    <comment ref="J257" authorId="0">
      <text>
        <r>
          <rPr>
            <b/>
            <sz val="9"/>
            <color indexed="81"/>
            <rFont val="Tahoma"/>
            <family val="2"/>
            <charset val="204"/>
          </rPr>
          <t>Автор:</t>
        </r>
        <r>
          <rPr>
            <sz val="9"/>
            <color indexed="81"/>
            <rFont val="Tahoma"/>
            <family val="2"/>
            <charset val="204"/>
          </rPr>
          <t xml:space="preserve">
по распоряжению 101-р от 19.02.2024 доведены ЛБО в размере 25 млн.рублей, на оплату 50% объектов 2023 года</t>
        </r>
      </text>
    </comment>
    <comment ref="K257" authorId="0">
      <text>
        <r>
          <rPr>
            <b/>
            <sz val="9"/>
            <color indexed="81"/>
            <rFont val="Tahoma"/>
            <family val="2"/>
            <charset val="204"/>
          </rPr>
          <t>Автор:</t>
        </r>
        <r>
          <rPr>
            <sz val="9"/>
            <color indexed="81"/>
            <rFont val="Tahoma"/>
            <family val="2"/>
            <charset val="204"/>
          </rPr>
          <t xml:space="preserve">
по распоряжению 101-р от 19.02.2024 доведены ЛБО в размере 25 млн.рублей, на оплату 50% объектов 2023 года</t>
        </r>
      </text>
    </comment>
    <comment ref="B397" authorId="0">
      <text>
        <r>
          <rPr>
            <b/>
            <sz val="9"/>
            <color indexed="81"/>
            <rFont val="Tahoma"/>
            <family val="2"/>
            <charset val="204"/>
          </rPr>
          <t>Автор:</t>
        </r>
        <r>
          <rPr>
            <sz val="9"/>
            <color indexed="81"/>
            <rFont val="Tahoma"/>
            <family val="2"/>
            <charset val="204"/>
          </rPr>
          <t xml:space="preserve">
обустройство велодорожек</t>
        </r>
      </text>
    </comment>
    <comment ref="I399" authorId="0">
      <text>
        <r>
          <rPr>
            <b/>
            <sz val="9"/>
            <color indexed="81"/>
            <rFont val="Tahoma"/>
            <family val="2"/>
            <charset val="204"/>
          </rPr>
          <t>Автор:</t>
        </r>
        <r>
          <rPr>
            <sz val="9"/>
            <color indexed="81"/>
            <rFont val="Tahoma"/>
            <family val="2"/>
            <charset val="204"/>
          </rPr>
          <t xml:space="preserve">
вернули светофоры на МП 8 + хвостик в размере 1 271 тыс.рублей
18 021,04791-остаток от Пионерской</t>
        </r>
      </text>
    </comment>
  </commentList>
</comments>
</file>

<file path=xl/comments2.xml><?xml version="1.0" encoding="utf-8"?>
<comments xmlns="http://schemas.openxmlformats.org/spreadsheetml/2006/main">
  <authors>
    <author>Автор</author>
  </authors>
  <commentList>
    <comment ref="C22" authorId="0">
      <text>
        <r>
          <rPr>
            <b/>
            <sz val="9"/>
            <color indexed="81"/>
            <rFont val="Tahoma"/>
            <family val="2"/>
            <charset val="204"/>
          </rPr>
          <t>Автор:</t>
        </r>
        <r>
          <rPr>
            <sz val="9"/>
            <color indexed="81"/>
            <rFont val="Tahoma"/>
            <family val="2"/>
            <charset val="204"/>
          </rPr>
          <t xml:space="preserve">
340 на дооборудование светофорных объектов 4 шт.</t>
        </r>
      </text>
    </comment>
    <comment ref="G25" authorId="0">
      <text>
        <r>
          <rPr>
            <b/>
            <sz val="9"/>
            <color indexed="81"/>
            <rFont val="Tahoma"/>
            <family val="2"/>
            <charset val="204"/>
          </rPr>
          <t>Автор:</t>
        </r>
        <r>
          <rPr>
            <sz val="9"/>
            <color indexed="81"/>
            <rFont val="Tahoma"/>
            <family val="2"/>
            <charset val="204"/>
          </rPr>
          <t xml:space="preserve">
837,14223-валка деревьев в городских условиях
2 938,86994-текущий ремонт клумб по ул. Ленина
1 163,32-демонтаж пешеходных ограждений
1142,196-установка системы видеонаблюдения Dahua на мостах
876-разработка планов ОТИ
174,27276-тех.присоединение к эл.сетям
300-круглосуточная охрана моста "Красный"</t>
        </r>
      </text>
    </comment>
    <comment ref="B26" authorId="0">
      <text>
        <r>
          <rPr>
            <b/>
            <sz val="9"/>
            <color indexed="81"/>
            <rFont val="Tahoma"/>
            <family val="2"/>
            <charset val="204"/>
          </rPr>
          <t>Автор:</t>
        </r>
        <r>
          <rPr>
            <sz val="9"/>
            <color indexed="81"/>
            <rFont val="Tahoma"/>
            <family val="2"/>
            <charset val="204"/>
          </rPr>
          <t xml:space="preserve">
ямочный ремонт</t>
        </r>
      </text>
    </comment>
    <comment ref="G28" authorId="0">
      <text>
        <r>
          <rPr>
            <b/>
            <sz val="9"/>
            <color indexed="81"/>
            <rFont val="Tahoma"/>
            <family val="2"/>
            <charset val="204"/>
          </rPr>
          <t>Автор:</t>
        </r>
        <r>
          <rPr>
            <sz val="9"/>
            <color indexed="81"/>
            <rFont val="Tahoma"/>
            <family val="2"/>
            <charset val="204"/>
          </rPr>
          <t xml:space="preserve">
153,9846-аренда опор
50,00 экспертиза соответствия выполненных работ техническому заданию МК и локальному проекту ИТС Орловской городской агломерации</t>
        </r>
      </text>
    </comment>
    <comment ref="G80" authorId="0">
      <text>
        <r>
          <rPr>
            <b/>
            <sz val="9"/>
            <color indexed="81"/>
            <rFont val="Tahoma"/>
            <family val="2"/>
            <charset val="204"/>
          </rPr>
          <t>Автор:</t>
        </r>
        <r>
          <rPr>
            <sz val="9"/>
            <color indexed="81"/>
            <rFont val="Tahoma"/>
            <family val="2"/>
            <charset val="204"/>
          </rPr>
          <t xml:space="preserve">
1300 городские
1% от общей 
суммы
ФАКТ 1052,43926 ПСД</t>
        </r>
      </text>
    </comment>
    <comment ref="F88" authorId="0">
      <text>
        <r>
          <rPr>
            <b/>
            <sz val="9"/>
            <color indexed="81"/>
            <rFont val="Tahoma"/>
            <family val="2"/>
            <charset val="204"/>
          </rPr>
          <t>Автор:</t>
        </r>
        <r>
          <rPr>
            <sz val="9"/>
            <color indexed="81"/>
            <rFont val="Tahoma"/>
            <family val="2"/>
            <charset val="204"/>
          </rPr>
          <t xml:space="preserve">
95% софинансирование</t>
        </r>
      </text>
    </comment>
    <comment ref="B108" authorId="0">
      <text>
        <r>
          <rPr>
            <b/>
            <sz val="9"/>
            <color indexed="81"/>
            <rFont val="Tahoma"/>
            <family val="2"/>
            <charset val="204"/>
          </rPr>
          <t>Автор:</t>
        </r>
        <r>
          <rPr>
            <sz val="9"/>
            <color indexed="81"/>
            <rFont val="Tahoma"/>
            <family val="2"/>
            <charset val="204"/>
          </rPr>
          <t xml:space="preserve">
ИКСИС
</t>
        </r>
      </text>
    </comment>
    <comment ref="F128" authorId="0">
      <text>
        <r>
          <rPr>
            <b/>
            <sz val="9"/>
            <color indexed="81"/>
            <rFont val="Tahoma"/>
            <family val="2"/>
            <charset val="204"/>
          </rPr>
          <t>Автор:</t>
        </r>
        <r>
          <rPr>
            <sz val="9"/>
            <color indexed="81"/>
            <rFont val="Tahoma"/>
            <family val="2"/>
            <charset val="204"/>
          </rPr>
          <t xml:space="preserve">
софинанс 5%
</t>
        </r>
      </text>
    </comment>
    <comment ref="F133" authorId="0">
      <text>
        <r>
          <rPr>
            <b/>
            <sz val="9"/>
            <color indexed="81"/>
            <rFont val="Tahoma"/>
            <family val="2"/>
            <charset val="204"/>
          </rPr>
          <t>Автор:</t>
        </r>
        <r>
          <rPr>
            <sz val="9"/>
            <color indexed="81"/>
            <rFont val="Tahoma"/>
            <family val="2"/>
            <charset val="204"/>
          </rPr>
          <t xml:space="preserve">
Жиляева проектирование Лужков
</t>
        </r>
      </text>
    </comment>
    <comment ref="C139" authorId="0">
      <text>
        <r>
          <rPr>
            <b/>
            <sz val="9"/>
            <color indexed="81"/>
            <rFont val="Tahoma"/>
            <family val="2"/>
            <charset val="204"/>
          </rPr>
          <t>Автор:</t>
        </r>
        <r>
          <rPr>
            <sz val="9"/>
            <color indexed="81"/>
            <rFont val="Tahoma"/>
            <family val="2"/>
            <charset val="204"/>
          </rPr>
          <t xml:space="preserve">
с 40 млн ДОПА на остановки 4 500</t>
        </r>
      </text>
    </comment>
    <comment ref="C140" authorId="0">
      <text>
        <r>
          <rPr>
            <b/>
            <sz val="9"/>
            <color indexed="81"/>
            <rFont val="Tahoma"/>
            <family val="2"/>
            <charset val="204"/>
          </rPr>
          <t>Автор:</t>
        </r>
        <r>
          <rPr>
            <sz val="9"/>
            <color indexed="81"/>
            <rFont val="Tahoma"/>
            <family val="2"/>
            <charset val="204"/>
          </rPr>
          <t xml:space="preserve">
2293,87169 сумма по смете</t>
        </r>
      </text>
    </comment>
    <comment ref="C142" authorId="0">
      <text>
        <r>
          <rPr>
            <b/>
            <sz val="9"/>
            <color indexed="81"/>
            <rFont val="Tahoma"/>
            <family val="2"/>
            <charset val="204"/>
          </rPr>
          <t>Автор:</t>
        </r>
        <r>
          <rPr>
            <sz val="9"/>
            <color indexed="81"/>
            <rFont val="Tahoma"/>
            <family val="2"/>
            <charset val="204"/>
          </rPr>
          <t xml:space="preserve">
вх.21226 от 21.12.2022 доведено 900 млн.руб. </t>
        </r>
      </text>
    </comment>
    <comment ref="B150" authorId="0">
      <text>
        <r>
          <rPr>
            <b/>
            <sz val="9"/>
            <color indexed="81"/>
            <rFont val="Tahoma"/>
            <family val="2"/>
            <charset val="204"/>
          </rPr>
          <t>Автор:</t>
        </r>
        <r>
          <rPr>
            <sz val="9"/>
            <color indexed="81"/>
            <rFont val="Tahoma"/>
            <family val="2"/>
            <charset val="204"/>
          </rPr>
          <t xml:space="preserve">
перильные ограждения</t>
        </r>
      </text>
    </comment>
    <comment ref="B151" authorId="0">
      <text>
        <r>
          <rPr>
            <b/>
            <sz val="9"/>
            <color indexed="81"/>
            <rFont val="Tahoma"/>
            <family val="2"/>
            <charset val="204"/>
          </rPr>
          <t>Автор:</t>
        </r>
        <r>
          <rPr>
            <sz val="9"/>
            <color indexed="81"/>
            <rFont val="Tahoma"/>
            <family val="2"/>
            <charset val="204"/>
          </rPr>
          <t xml:space="preserve">
проезжая часть</t>
        </r>
      </text>
    </comment>
    <comment ref="B191" authorId="0">
      <text>
        <r>
          <rPr>
            <b/>
            <sz val="9"/>
            <color indexed="81"/>
            <rFont val="Tahoma"/>
            <family val="2"/>
            <charset val="204"/>
          </rPr>
          <t>Автор:</t>
        </r>
        <r>
          <rPr>
            <sz val="9"/>
            <color indexed="81"/>
            <rFont val="Tahoma"/>
            <family val="2"/>
            <charset val="204"/>
          </rPr>
          <t xml:space="preserve">
сфетофоры</t>
        </r>
      </text>
    </comment>
    <comment ref="C219" authorId="0">
      <text>
        <r>
          <rPr>
            <b/>
            <sz val="9"/>
            <color indexed="81"/>
            <rFont val="Tahoma"/>
            <family val="2"/>
            <charset val="204"/>
          </rPr>
          <t>Автор:</t>
        </r>
        <r>
          <rPr>
            <sz val="9"/>
            <color indexed="81"/>
            <rFont val="Tahoma"/>
            <family val="2"/>
            <charset val="204"/>
          </rPr>
          <t xml:space="preserve">
ОМЗ, заключены контракта</t>
        </r>
      </text>
    </comment>
    <comment ref="C220" authorId="0">
      <text>
        <r>
          <rPr>
            <b/>
            <sz val="9"/>
            <color indexed="81"/>
            <rFont val="Tahoma"/>
            <family val="2"/>
            <charset val="204"/>
          </rPr>
          <t>Автор:</t>
        </r>
        <r>
          <rPr>
            <sz val="9"/>
            <color indexed="81"/>
            <rFont val="Tahoma"/>
            <family val="2"/>
            <charset val="204"/>
          </rPr>
          <t xml:space="preserve">
САБ</t>
        </r>
      </text>
    </comment>
    <comment ref="B221" authorId="0">
      <text>
        <r>
          <rPr>
            <b/>
            <sz val="9"/>
            <color indexed="81"/>
            <rFont val="Tahoma"/>
            <family val="2"/>
            <charset val="204"/>
          </rPr>
          <t>Автор:</t>
        </r>
        <r>
          <rPr>
            <sz val="9"/>
            <color indexed="81"/>
            <rFont val="Tahoma"/>
            <family val="2"/>
            <charset val="204"/>
          </rPr>
          <t xml:space="preserve">
САБ
</t>
        </r>
      </text>
    </comment>
    <comment ref="B222" authorId="0">
      <text>
        <r>
          <rPr>
            <b/>
            <sz val="9"/>
            <color indexed="81"/>
            <rFont val="Tahoma"/>
            <family val="2"/>
            <charset val="204"/>
          </rPr>
          <t>Автор:</t>
        </r>
        <r>
          <rPr>
            <sz val="9"/>
            <color indexed="81"/>
            <rFont val="Tahoma"/>
            <family val="2"/>
            <charset val="204"/>
          </rPr>
          <t xml:space="preserve">
ОМЗ</t>
        </r>
      </text>
    </comment>
    <comment ref="B357" authorId="0">
      <text>
        <r>
          <rPr>
            <b/>
            <sz val="9"/>
            <color indexed="81"/>
            <rFont val="Tahoma"/>
            <family val="2"/>
            <charset val="204"/>
          </rPr>
          <t>Автор:</t>
        </r>
        <r>
          <rPr>
            <sz val="9"/>
            <color indexed="81"/>
            <rFont val="Tahoma"/>
            <family val="2"/>
            <charset val="204"/>
          </rPr>
          <t xml:space="preserve">
сфетофоры</t>
        </r>
      </text>
    </comment>
    <comment ref="B452" authorId="0">
      <text>
        <r>
          <rPr>
            <b/>
            <sz val="9"/>
            <color indexed="81"/>
            <rFont val="Tahoma"/>
            <family val="2"/>
            <charset val="204"/>
          </rPr>
          <t>Автор:</t>
        </r>
        <r>
          <rPr>
            <sz val="9"/>
            <color indexed="81"/>
            <rFont val="Tahoma"/>
            <family val="2"/>
            <charset val="204"/>
          </rPr>
          <t xml:space="preserve">
сфетофоры</t>
        </r>
      </text>
    </comment>
  </commentList>
</comments>
</file>

<file path=xl/comments3.xml><?xml version="1.0" encoding="utf-8"?>
<comments xmlns="http://schemas.openxmlformats.org/spreadsheetml/2006/main">
  <authors>
    <author>Автор</author>
  </authors>
  <commentList>
    <comment ref="E18" authorId="0">
      <text>
        <r>
          <rPr>
            <b/>
            <sz val="9"/>
            <color indexed="81"/>
            <rFont val="Tahoma"/>
            <family val="2"/>
            <charset val="204"/>
          </rPr>
          <t>Автор:</t>
        </r>
        <r>
          <rPr>
            <sz val="9"/>
            <color indexed="81"/>
            <rFont val="Tahoma"/>
            <family val="2"/>
            <charset val="204"/>
          </rPr>
          <t xml:space="preserve">
Площадь МП 2 + МП 3 +МП 8
</t>
        </r>
      </text>
    </comment>
  </commentList>
</comments>
</file>

<file path=xl/comments4.xml><?xml version="1.0" encoding="utf-8"?>
<comments xmlns="http://schemas.openxmlformats.org/spreadsheetml/2006/main">
  <authors>
    <author>Автор</author>
  </authors>
  <commentList>
    <comment ref="D10" authorId="0">
      <text>
        <r>
          <rPr>
            <b/>
            <sz val="9"/>
            <color indexed="81"/>
            <rFont val="Tahoma"/>
            <family val="2"/>
            <charset val="204"/>
          </rPr>
          <t>Автор:</t>
        </r>
        <r>
          <rPr>
            <sz val="9"/>
            <color indexed="81"/>
            <rFont val="Tahoma"/>
            <family val="2"/>
            <charset val="204"/>
          </rPr>
          <t xml:space="preserve">
под частный сектор</t>
        </r>
      </text>
    </comment>
  </commentList>
</comments>
</file>

<file path=xl/comments5.xml><?xml version="1.0" encoding="utf-8"?>
<comments xmlns="http://schemas.openxmlformats.org/spreadsheetml/2006/main">
  <authors>
    <author>Автор</author>
  </authors>
  <commentList>
    <comment ref="D14" authorId="0">
      <text>
        <r>
          <rPr>
            <b/>
            <sz val="9"/>
            <color indexed="81"/>
            <rFont val="Tahoma"/>
            <family val="2"/>
            <charset val="204"/>
          </rPr>
          <t>Автор:</t>
        </r>
        <r>
          <rPr>
            <sz val="9"/>
            <color indexed="81"/>
            <rFont val="Tahoma"/>
            <family val="2"/>
            <charset val="204"/>
          </rPr>
          <t xml:space="preserve">
Протяженность за 2022 по МП2 + МП3
</t>
        </r>
      </text>
    </comment>
  </commentList>
</comments>
</file>

<file path=xl/comments6.xml><?xml version="1.0" encoding="utf-8"?>
<comments xmlns="http://schemas.openxmlformats.org/spreadsheetml/2006/main">
  <authors>
    <author>Автор</author>
  </authors>
  <commentList>
    <comment ref="A26" authorId="0">
      <text>
        <r>
          <rPr>
            <b/>
            <sz val="9"/>
            <color indexed="81"/>
            <rFont val="Tahoma"/>
            <family val="2"/>
            <charset val="204"/>
          </rPr>
          <t>Автор:</t>
        </r>
        <r>
          <rPr>
            <sz val="9"/>
            <color indexed="81"/>
            <rFont val="Tahoma"/>
            <family val="2"/>
            <charset val="204"/>
          </rPr>
          <t xml:space="preserve">
светофоры</t>
        </r>
      </text>
    </comment>
    <comment ref="A28" authorId="0">
      <text>
        <r>
          <rPr>
            <b/>
            <sz val="9"/>
            <color indexed="81"/>
            <rFont val="Tahoma"/>
            <family val="2"/>
            <charset val="204"/>
          </rPr>
          <t>Автор:</t>
        </r>
        <r>
          <rPr>
            <sz val="9"/>
            <color indexed="81"/>
            <rFont val="Tahoma"/>
            <family val="2"/>
            <charset val="204"/>
          </rPr>
          <t xml:space="preserve">
ИКСИС
</t>
        </r>
      </text>
    </comment>
  </commentList>
</comments>
</file>

<file path=xl/comments7.xml><?xml version="1.0" encoding="utf-8"?>
<comments xmlns="http://schemas.openxmlformats.org/spreadsheetml/2006/main">
  <authors>
    <author>Автор</author>
  </authors>
  <commentList>
    <comment ref="F3" authorId="0">
      <text>
        <r>
          <rPr>
            <b/>
            <sz val="9"/>
            <color indexed="81"/>
            <rFont val="Tahoma"/>
            <family val="2"/>
            <charset val="204"/>
          </rPr>
          <t>Автор:</t>
        </r>
        <r>
          <rPr>
            <sz val="9"/>
            <color indexed="81"/>
            <rFont val="Tahoma"/>
            <family val="2"/>
            <charset val="204"/>
          </rPr>
          <t xml:space="preserve">
включая кредит.задолженность 1557 млн.</t>
        </r>
      </text>
    </comment>
  </commentList>
</comments>
</file>

<file path=xl/sharedStrings.xml><?xml version="1.0" encoding="utf-8"?>
<sst xmlns="http://schemas.openxmlformats.org/spreadsheetml/2006/main" count="1365" uniqueCount="880">
  <si>
    <t>Цели, задачи, мероприятия, показатели</t>
  </si>
  <si>
    <t>Ответственный исполнитель</t>
  </si>
  <si>
    <t>Срок</t>
  </si>
  <si>
    <t>начала реализации</t>
  </si>
  <si>
    <t>Результат</t>
  </si>
  <si>
    <t>Объемы финансирования, тыс.руб.</t>
  </si>
  <si>
    <t>2022 год</t>
  </si>
  <si>
    <t>Программная составляющая, всего</t>
  </si>
  <si>
    <t>источники финансирования</t>
  </si>
  <si>
    <t>средства Дорожного фонда Орловской области</t>
  </si>
  <si>
    <t>бюджет города Орла</t>
  </si>
  <si>
    <t>Устройство новых, реконструкция, дооборудование существующих линий электроосвещения в пределах улично-дорожной сети на территории МО "Город Орел"</t>
  </si>
  <si>
    <t>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а также Орловской городской агломерации на 2019-2024 годы" национального проекта "Безопасные и качественные автомобильные дороги"</t>
  </si>
  <si>
    <t>Устройство (монтаж) средств организации и регулирования дорожного движения на автомобильных дорогах города Орла</t>
  </si>
  <si>
    <t>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t>
  </si>
  <si>
    <t>Ремонт автомобильных дорог общего пользования местного значения и искусственных сооружений на них</t>
  </si>
  <si>
    <t>источники финансирования:</t>
  </si>
  <si>
    <t>окончания реализации</t>
  </si>
  <si>
    <t>2023 год</t>
  </si>
  <si>
    <t>2024 год</t>
  </si>
  <si>
    <t>2025 год</t>
  </si>
  <si>
    <t>2026 год</t>
  </si>
  <si>
    <t>регламентные работы;</t>
  </si>
  <si>
    <t>восстановление верхних слоев дорожной одежды;</t>
  </si>
  <si>
    <t>внедрение интеллектуальной  системы управления транспортными потоками</t>
  </si>
  <si>
    <t>содержание искусственных дорожных  сооружений на автомобильных дорогах общего пользования</t>
  </si>
  <si>
    <t>кредиторская задолженность предыдущих лет</t>
  </si>
  <si>
    <t>разработка проектно-сметной документации и проведение проверки достоверности сметной стоимости</t>
  </si>
  <si>
    <t>незадействованный остаток</t>
  </si>
  <si>
    <t>ул. Максима Горького</t>
  </si>
  <si>
    <t>ул. Ломоносова</t>
  </si>
  <si>
    <t>незадействованый остаток</t>
  </si>
  <si>
    <t>установка пешеходных ограждений</t>
  </si>
  <si>
    <t>установка дорожных знаков</t>
  </si>
  <si>
    <t>Разработка и внедрение интеллектуальной транспортной системы в рамках Орловской агломирации на базе муниципального образования "Город Орёл"</t>
  </si>
  <si>
    <t xml:space="preserve">    Приложение № 2</t>
  </si>
  <si>
    <t>Перечень</t>
  </si>
  <si>
    <t>№ п/п</t>
  </si>
  <si>
    <t>На именование объекта</t>
  </si>
  <si>
    <t xml:space="preserve">Ориентировочная стоимость, </t>
  </si>
  <si>
    <t>Иные межбюджетные трансферты</t>
  </si>
  <si>
    <t>Средства бюджета города Орла, тыс. руб.</t>
  </si>
  <si>
    <t>тыс. руб.</t>
  </si>
  <si>
    <t>1.  </t>
  </si>
  <si>
    <t>Содержание улично-дорожной сети города Орла</t>
  </si>
  <si>
    <t>1.1.</t>
  </si>
  <si>
    <t>1.2.</t>
  </si>
  <si>
    <t>1.3.</t>
  </si>
  <si>
    <t>1.4.</t>
  </si>
  <si>
    <t>1.5.</t>
  </si>
  <si>
    <t>2.</t>
  </si>
  <si>
    <t>Устройство (монтаж) средств организации и регулирования дорожного движения на автомобильных дорогах города Орёл</t>
  </si>
  <si>
    <t>4.1</t>
  </si>
  <si>
    <t>4.2</t>
  </si>
  <si>
    <t>4.3</t>
  </si>
  <si>
    <t>Разработка проектно-сметной документации и проведение проверки достоверности сметной стоимости</t>
  </si>
  <si>
    <t xml:space="preserve">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   </t>
  </si>
  <si>
    <t>2.1</t>
  </si>
  <si>
    <t>2.2</t>
  </si>
  <si>
    <t>2.3</t>
  </si>
  <si>
    <t>2.4</t>
  </si>
  <si>
    <t>2.5</t>
  </si>
  <si>
    <t>2.7</t>
  </si>
  <si>
    <t>2.8</t>
  </si>
  <si>
    <t>2.9</t>
  </si>
  <si>
    <t>2.10</t>
  </si>
  <si>
    <t>2.11</t>
  </si>
  <si>
    <t>2.12</t>
  </si>
  <si>
    <t>3.1.</t>
  </si>
  <si>
    <t>3.2.</t>
  </si>
  <si>
    <t>3.3.</t>
  </si>
  <si>
    <t>3.4.</t>
  </si>
  <si>
    <t>3.5.</t>
  </si>
  <si>
    <t>кредиторская задолженность 2021 года</t>
  </si>
  <si>
    <t xml:space="preserve"> </t>
  </si>
  <si>
    <t>кв.м/ед.</t>
  </si>
  <si>
    <t>Реконструкция "Красного моста" в г.Орле</t>
  </si>
  <si>
    <t>федеральный бюджет</t>
  </si>
  <si>
    <t>бюджет Орловской области</t>
  </si>
  <si>
    <t>Приложение №1</t>
  </si>
  <si>
    <t>к муниципальной программе</t>
  </si>
  <si>
    <t>"Комплексное развитие улично-дорожной сети</t>
  </si>
  <si>
    <t>города Орла на 2022-2026 годы"</t>
  </si>
  <si>
    <t>Перечень мероприятий муниципальной программы</t>
  </si>
  <si>
    <t>"Комплексное развитие улично-дорожной сети города Орла на 2022-2026 годы"</t>
  </si>
  <si>
    <t>330 пог.м</t>
  </si>
  <si>
    <t>200 шт.</t>
  </si>
  <si>
    <t>улично-дорожной сети города Орла на 2022-2026 годы»</t>
  </si>
  <si>
    <t>4.4</t>
  </si>
  <si>
    <t xml:space="preserve">    Приложение № 3</t>
  </si>
  <si>
    <t>№</t>
  </si>
  <si>
    <t>Наименование ожидаемого результата - конечного результата (индикатора)</t>
  </si>
  <si>
    <t>Ед.изм.</t>
  </si>
  <si>
    <t>Значение целевых показателей</t>
  </si>
  <si>
    <t>кв.м</t>
  </si>
  <si>
    <t>%</t>
  </si>
  <si>
    <t>объект</t>
  </si>
  <si>
    <t>Количество устроенных (смонтированных) средств организации и регулирования дорожного движения на автоомобильных дорогах города Орла</t>
  </si>
  <si>
    <t>Целевые показатели муниципальной программы</t>
  </si>
  <si>
    <t>города Орла на 2022-2026 годы»</t>
  </si>
  <si>
    <t>«Комплексное развитие улично-дорожной сети</t>
  </si>
  <si>
    <t xml:space="preserve">    Приложение № 4</t>
  </si>
  <si>
    <t>Ед. изм.</t>
  </si>
  <si>
    <t>Результат предоставления иного межбюджетного трансферта</t>
  </si>
  <si>
    <t>Доля протяженности автомобильных дорог общего пользования местного значения на территории г.Орла, соответствующих нормативным требованиям к транспортно-эксплуатационным показателям, в общей протяженности указанных автомобильных дорог</t>
  </si>
  <si>
    <t>км</t>
  </si>
  <si>
    <t>Прирост протяженности автомобильных дорог общего пользования местного значения на территории г.Орла в результате строительства новых автомобильных дорог</t>
  </si>
  <si>
    <t>Прирост протяженности автомобильных дорог общего пользования местного значения на территории г.Орла, соответствующих нормативных требованиям к транспортно-эксплутационным показателям, в результате капитального ремонта и ремонта автомобильных дорог</t>
  </si>
  <si>
    <t>Прирост протяженности автомобильных дорог общего пользования местного значения на территории г.Орла, соответствующих нормативных требованиям к транспортно-эксплутационным показателям, в результате реконструкции автомобильных дорог</t>
  </si>
  <si>
    <t>МП2</t>
  </si>
  <si>
    <t>МП3</t>
  </si>
  <si>
    <t>Плановые значения результатов предоставления иного межбюджетного трансферта на конец 2022</t>
  </si>
  <si>
    <t>2021 год (факт)</t>
  </si>
  <si>
    <r>
      <rPr>
        <b/>
        <sz val="12"/>
        <color theme="1"/>
        <rFont val="Times New Roman"/>
        <family val="1"/>
        <charset val="204"/>
      </rPr>
      <t>L общ.=461,3 км</t>
    </r>
    <r>
      <rPr>
        <sz val="12"/>
        <color theme="1"/>
        <rFont val="Times New Roman"/>
        <family val="1"/>
        <charset val="204"/>
      </rPr>
      <t xml:space="preserve"> - общая протяженность дорог общего пользования местного значения;</t>
    </r>
  </si>
  <si>
    <t xml:space="preserve">Количество устроенных средств организации и регулирования дорожного движения на автомобильных дорогах города Орла </t>
  </si>
  <si>
    <t>Примечание:</t>
  </si>
  <si>
    <t>Норматив предыдущего года + протяженность года по программе, нарастающим итогом</t>
  </si>
  <si>
    <r>
      <rPr>
        <b/>
        <sz val="12"/>
        <color theme="1"/>
        <rFont val="Times New Roman"/>
        <family val="1"/>
        <charset val="204"/>
      </rPr>
      <t>L норм.=</t>
    </r>
    <r>
      <rPr>
        <sz val="12"/>
        <color theme="1"/>
        <rFont val="Times New Roman"/>
        <family val="1"/>
        <charset val="204"/>
      </rPr>
      <t xml:space="preserve"> </t>
    </r>
    <r>
      <rPr>
        <b/>
        <sz val="12"/>
        <color theme="1"/>
        <rFont val="Times New Roman"/>
        <family val="1"/>
        <charset val="204"/>
      </rPr>
      <t>114,414 (норматив 2021 года)</t>
    </r>
    <r>
      <rPr>
        <sz val="12"/>
        <color theme="1"/>
        <rFont val="Times New Roman"/>
        <family val="1"/>
        <charset val="204"/>
      </rPr>
      <t>- протяженность дорог, отвечающих нормативным требованиям (с твердым покрытием).</t>
    </r>
  </si>
  <si>
    <t>норматив 2022 года</t>
  </si>
  <si>
    <t xml:space="preserve">снижение не  отвечающ.нормат.требованиям </t>
  </si>
  <si>
    <t xml:space="preserve">МП 2 2021 год </t>
  </si>
  <si>
    <t xml:space="preserve">МП 3 2021 год </t>
  </si>
  <si>
    <t xml:space="preserve"> 2020 год, км</t>
  </si>
  <si>
    <t>МП 2 2022 год</t>
  </si>
  <si>
    <t>МП 3 2022 год</t>
  </si>
  <si>
    <t>администрации города Орла</t>
  </si>
  <si>
    <t>Заместитель начальника  управления строительства,</t>
  </si>
  <si>
    <t>дорожного хозяйства и благоустройства</t>
  </si>
  <si>
    <t>Н.С. Митряев</t>
  </si>
  <si>
    <t xml:space="preserve">Основное мероприятие 1. </t>
  </si>
  <si>
    <t xml:space="preserve">Основное мероприятие 2. </t>
  </si>
  <si>
    <t xml:space="preserve">Основное мероприятие 3. </t>
  </si>
  <si>
    <t xml:space="preserve">Основное мероприятие 4. </t>
  </si>
  <si>
    <t xml:space="preserve">Основное мероприятие 5. </t>
  </si>
  <si>
    <t>Всего</t>
  </si>
  <si>
    <t>к постановлению</t>
  </si>
  <si>
    <t xml:space="preserve">к приложению муниципальной программы
</t>
  </si>
  <si>
    <t>Площадь восстановленных верхних слоев дорожной одежды</t>
  </si>
  <si>
    <t>Строительство объектов УДС города Орла</t>
  </si>
  <si>
    <t>Карачевское шоссе, 1 этап</t>
  </si>
  <si>
    <t>Карачевское шоссе,  1 этап</t>
  </si>
  <si>
    <t>внедрение ИТС на территории города Орла</t>
  </si>
  <si>
    <t>Площадь отремонтированных объектов улично-дорожной сети города Орла</t>
  </si>
  <si>
    <t>Прирост протяженности автомобильных дорог общего пользования местного значения на территории г.Орла, соответствующих нормативным требованиям к транспортно-эксплуатационным показателям, в результате капитального ремонта и ремонта автомобильных дорог</t>
  </si>
  <si>
    <t xml:space="preserve"> к муниципальной программе «Комплексное развитие 
</t>
  </si>
  <si>
    <t xml:space="preserve">к  муниципальной программе «Комплексное развитие 
</t>
  </si>
  <si>
    <t>разработка проекта организации дорожного движения по автомобильным дорогам города Орла</t>
  </si>
  <si>
    <t>внесение изменений в проект организации дорожного движения по автомобильным дорогам города Орла</t>
  </si>
  <si>
    <t>Содержание автомобильных дорог общего пользования местного значения и искусственных сооружений на них, приобретение дорожной техники, необходимой для содержания автомобильных дорог общего пользования местного значения</t>
  </si>
  <si>
    <t>(по источникам финансирования)</t>
  </si>
  <si>
    <t>объектов улично-дорожной сети для ремонта, предусмотренных Программой</t>
  </si>
  <si>
    <t>ул.Мостовая</t>
  </si>
  <si>
    <t>ул.Генерала Родина на участке от ул.Мостовой до ул.Веселой</t>
  </si>
  <si>
    <t>ремонт моста "Тургеневский" через р.Орлик</t>
  </si>
  <si>
    <t>ремонт пешеходных мостов</t>
  </si>
  <si>
    <t>1.6.</t>
  </si>
  <si>
    <t>восстановление электроосвещения ул.Генерала армии Ковалева</t>
  </si>
  <si>
    <t>2.1.</t>
  </si>
  <si>
    <t>2.2.</t>
  </si>
  <si>
    <t>2.3.</t>
  </si>
  <si>
    <t>2.4.</t>
  </si>
  <si>
    <t>2.6.</t>
  </si>
  <si>
    <t>2.7.</t>
  </si>
  <si>
    <t>2.8.</t>
  </si>
  <si>
    <t>2.9.</t>
  </si>
  <si>
    <t>ул.Березовая</t>
  </si>
  <si>
    <t>регламентные работы, в т.ч.</t>
  </si>
  <si>
    <t>содержание сети ливневой канализации в г. Орле</t>
  </si>
  <si>
    <t xml:space="preserve">проведение работ по содержанию остановочных павильонов общественного транспорта </t>
  </si>
  <si>
    <t>прочие работы (уборка, выпиловка деревьев,и т.д.)</t>
  </si>
  <si>
    <t>1.1.1.</t>
  </si>
  <si>
    <t>1.1.2.</t>
  </si>
  <si>
    <t>1.1.3.</t>
  </si>
  <si>
    <t>1.1.4.</t>
  </si>
  <si>
    <r>
      <t xml:space="preserve">внедрение интеллектуальной  системы управления транспортными потоками </t>
    </r>
    <r>
      <rPr>
        <sz val="12"/>
        <color rgb="FFFF0000"/>
        <rFont val="Times New Roman"/>
        <family val="1"/>
        <charset val="204"/>
      </rPr>
      <t xml:space="preserve">(оказание услуг фиксированной связи) </t>
    </r>
  </si>
  <si>
    <t>восстановление верхних слоев дорожной одежды</t>
  </si>
  <si>
    <t xml:space="preserve">выполнение работ по содержанию автомобильных дорог (объектов безопасности дорожного движения) </t>
  </si>
  <si>
    <t>4.5</t>
  </si>
  <si>
    <t>4.6</t>
  </si>
  <si>
    <t>Болховское ш. освещение</t>
  </si>
  <si>
    <t>Карачевское шоссе, 2 этап (на участке от ул.Мостовой до черты города)</t>
  </si>
  <si>
    <t>ул. Космонавтов</t>
  </si>
  <si>
    <t>Московское шоссе (от пер.Межевого до ул.Рощинской)</t>
  </si>
  <si>
    <t xml:space="preserve">Мероприятие 6. </t>
  </si>
  <si>
    <t>закупка дорожной техники</t>
  </si>
  <si>
    <t>Кромской проезд</t>
  </si>
  <si>
    <t>6.1.</t>
  </si>
  <si>
    <t xml:space="preserve">Основное мероприятие 7. </t>
  </si>
  <si>
    <t>1.7.</t>
  </si>
  <si>
    <t>Информация по кредиторской задолженности</t>
  </si>
  <si>
    <t>кредиторская задолженность предыдущих лет, в том числе:</t>
  </si>
  <si>
    <t>МУП Спецавтобаза регламентные работы</t>
  </si>
  <si>
    <t>Область</t>
  </si>
  <si>
    <t>Город</t>
  </si>
  <si>
    <t>ГорСтрой ул.МОПРа от ул.Комсомольской до ул.Маяковского</t>
  </si>
  <si>
    <t>Дорстрой Болховское шоссе (2 этап)</t>
  </si>
  <si>
    <t>СпецДорТех ул.Генерала Армии Ковалева от ул.Мостовой до ул.Емлютина</t>
  </si>
  <si>
    <t>РУСТЕХ устройство спец.тех.средств контроля и регулирования ПДД</t>
  </si>
  <si>
    <t>ул.Герцена ООО "Газ Ресурс"</t>
  </si>
  <si>
    <t xml:space="preserve">пер.Ипподромный </t>
  </si>
  <si>
    <t>4.7</t>
  </si>
  <si>
    <t>2.13</t>
  </si>
  <si>
    <t>2.15</t>
  </si>
  <si>
    <t>2.16</t>
  </si>
  <si>
    <t>Болховское шоссе (2 этап; кредиторская задолженность)</t>
  </si>
  <si>
    <t>1 ед.</t>
  </si>
  <si>
    <t>устройство (монтаж) недостающих средств организации и регулирования дорожного движения на пересечении ул.Советской и ул.Революции</t>
  </si>
  <si>
    <t>устройство (монтаж) недостающих средств организации и регулирования дорожного движения на пересечении ул.Михалицына с пер.Артельный</t>
  </si>
  <si>
    <t>устройство (монтаж) недостающих средств организации и регулирования дорожного движения в районе д.3а по ул.Металлургов</t>
  </si>
  <si>
    <t>5 ед.</t>
  </si>
  <si>
    <t>устройство (монтаж) недостающих средств организации и регулирования дорожного движения по ул.Паровозная в районе д.62, д.26, д.16А, д.4, д.14 (кредиторская задолженность)</t>
  </si>
  <si>
    <t>2.17</t>
  </si>
  <si>
    <t>2.18</t>
  </si>
  <si>
    <t>2.19</t>
  </si>
  <si>
    <t>4.8</t>
  </si>
  <si>
    <t>4.9</t>
  </si>
  <si>
    <t>4.10</t>
  </si>
  <si>
    <t>устройство (монтаж) недостающих средств организации и регулирования дорожного движения на пересечении ул.Советской и ул.Революции (кредиторская задолженность)</t>
  </si>
  <si>
    <t>устройство (монтаж) недостающих средств организации и регулирования дорожного движения на пересечении ул.Михалицына с пер.Артельный (кредиторская задолженность)</t>
  </si>
  <si>
    <t>устройство (монтаж) недостающих средств организации и регулирования дорожного движения в районе д.166 по Московскому шоссе (кредиторская задолженность)</t>
  </si>
  <si>
    <t>устройство (монтаж) недостающих средств организации и регулирования дорожного движения в районе д.3а по ул.Металлургов (кредиторская задолженность)</t>
  </si>
  <si>
    <t>устройство (монтаж) недостающих средств организации и регулирования дорожного движения ул.Матвеева в районе школы №36 (кредиторская задолженность)</t>
  </si>
  <si>
    <t>-</t>
  </si>
  <si>
    <t xml:space="preserve">внедрение интеллектуальной  системы управления транспортными потоками (оказание услуг фиксированной связи) </t>
  </si>
  <si>
    <t xml:space="preserve">ул.Базовая </t>
  </si>
  <si>
    <t>ул.Генерала Родина ООО "Газ Ресурс"</t>
  </si>
  <si>
    <t>ул.Октябрьская ООО "Газ Ресурс"</t>
  </si>
  <si>
    <t>пер.Ипподромный ООО "Газ Ресурс"</t>
  </si>
  <si>
    <t>Наименование мероприятий</t>
  </si>
  <si>
    <t>устройство специальных технических средств контроля соблюдений ПДД на нерегулируемом пешеходном переходе по ул.Комсомольская, 237 (объекты 2021 года)</t>
  </si>
  <si>
    <t>устройство специальных технических средств контроля соблюдений ПДД на нерегулируемом пешеходном переходе по ул.Карачевская, 61 (объекты 2021 года)</t>
  </si>
  <si>
    <t>устройство специальных технических средств контроля соблюдений ПДД на нерегулируемом пешеходном переходе по Кромское шоссе, 1 (объекты 2021 года)</t>
  </si>
  <si>
    <t>устройство специальных технических средств контроля соблюдений ПДД на нерегулируемом пешеходном переходе по Карачевское шоссе, 2 (объекты 2021 года)</t>
  </si>
  <si>
    <t>устройство специальных технических средств контроля соблюдений ПДД на нерегулируемом пешеходном переходе по ул.Ливенская, 48 (объекты 2021 года)</t>
  </si>
  <si>
    <t>устройство специальных технических средств контроля соблюдений ПДД на нерегулируемом пешеходном переходе по ул.Приборостроительная, 8 (объекты 2021 года)</t>
  </si>
  <si>
    <t>МП 2 2023 год</t>
  </si>
  <si>
    <t>МП 3 2023 год</t>
  </si>
  <si>
    <t>МП 2 2024 год</t>
  </si>
  <si>
    <t>МП 3 2024 год</t>
  </si>
  <si>
    <t>не отвечающие норм.требованиям, км на 2022 год</t>
  </si>
  <si>
    <t>не отвечающие норм.требованиям, км на 2021 год</t>
  </si>
  <si>
    <t>не отвечающие норм.требованиям, км на 2023 год</t>
  </si>
  <si>
    <t>не отвечающие норм.требованиям, км на 2024 год</t>
  </si>
  <si>
    <t>МП 1</t>
  </si>
  <si>
    <t>МП 2</t>
  </si>
  <si>
    <t>МП 3</t>
  </si>
  <si>
    <t>МП 4</t>
  </si>
  <si>
    <t>МП 5</t>
  </si>
  <si>
    <t>Строительство объекта "Линия искусственного электроосвещения по ул. Высоковольтная в г.Орле"</t>
  </si>
  <si>
    <t>Выполнение работ по разработке проектной и рабочей документации на строительство объекта "Линия искусственного электроосвещения по ул. Высоковольтная в г.Орле"</t>
  </si>
  <si>
    <t>восстановление уличного освещения по улице Спивака на участке от улицы Достоевского  до улицы Царев Брод</t>
  </si>
  <si>
    <t>восстановление уличного освещения по проезду вдоль Наугорского шоссе от магазина "Европа" до домов № 90-92</t>
  </si>
  <si>
    <t>устройство (монтаж) недостающих средств организации и регулирования дорожного движения в районе пересечения ул. Матросова с ул. Осипенко</t>
  </si>
  <si>
    <t>устройство (монтаж) недостающих средств организации и регулирования дорожного движения в районе дома 
№ 96 по Наугорскому шоссе</t>
  </si>
  <si>
    <t>устройство (монтаж) недостающих средств организации и регулирования дорожного движения в районе пересечения дома № 93 по ул. Максима Горького</t>
  </si>
  <si>
    <t xml:space="preserve">оплачено </t>
  </si>
  <si>
    <t>оплачено  8 837 345,46</t>
  </si>
  <si>
    <t>заявка передана в область 07 апреля на сумму 5 806 147,57 руб.</t>
  </si>
  <si>
    <t>не оплачено</t>
  </si>
  <si>
    <t xml:space="preserve">остаток Мегафон </t>
  </si>
  <si>
    <t>не оплачена часть</t>
  </si>
  <si>
    <t>оплатили 12 млн.</t>
  </si>
  <si>
    <t>Приложение № 1</t>
  </si>
  <si>
    <t>Приложение № 2</t>
  </si>
  <si>
    <t>Приложение № 3</t>
  </si>
  <si>
    <t xml:space="preserve">ул.Комсомольская в районе д. 95 </t>
  </si>
  <si>
    <t>сидят в составе 33 млн.</t>
  </si>
  <si>
    <t>Наугорское шоссе от ул. Лескова до ул. Скворцова (1 этап от ул.Лескова до ул.Цветаева)</t>
  </si>
  <si>
    <t>4.11</t>
  </si>
  <si>
    <t>4.12</t>
  </si>
  <si>
    <t>4.13</t>
  </si>
  <si>
    <t>4.14</t>
  </si>
  <si>
    <t>4.15</t>
  </si>
  <si>
    <t>от длины улиц в км 2022-2023-2024-2025</t>
  </si>
  <si>
    <t>устройство (монтаж) недостающих средств организации и регулирования дорожного движения в районе пересечения ул.Маяковского - ул. Нормадия-Неман</t>
  </si>
  <si>
    <t>устройство (монтаж) недостающих средств организации и регулирования дорожного движения в районе пересечения ул. Комсомольская с ул. Нормандия-Неман</t>
  </si>
  <si>
    <t>устройство (монтаж) недостающих средств организации и регулирования дорожного движения в районе дома № 175 по  Московскому шоссе</t>
  </si>
  <si>
    <t>устройство (монтаж) недостающих средств организации и регулирования дорожного движения в районе пересечения ул.Тургенева - ул. Салтыкова-Щедрина</t>
  </si>
  <si>
    <t xml:space="preserve">устройство (монтаж) недостающих средств организации и регулирования дорожного движения в районе пересечения ул.Михалицина - пер.Керамический </t>
  </si>
  <si>
    <t>устройство (монтаж) недостающих средств организации и регулирования дорожного движения в районе дома № 1 по ул.Металлургов</t>
  </si>
  <si>
    <t>устройство (монтаж) недостающих средств организации и регулирования дорожного движения в районе пересечения ул.1-ая Курская - ул. Пушкина</t>
  </si>
  <si>
    <t>устройство (монтаж) недостающих средств организации и регулирования дорожного движения в районе дома № 151 по Московскому шоссе</t>
  </si>
  <si>
    <t>устройство (монтаж) недостающих средств организации и регулирования дорожного движения в районе пересечения ул.Мостовая - ул. Царев-Брод</t>
  </si>
  <si>
    <t>устройство (монтаж) недостающих средств организации и регулирования дорожного движения в районе дома № 1 по ул. Грузовая</t>
  </si>
  <si>
    <t>устройство (монтаж) недостающих средств организации и регулирования дорожного движения в районе дома №1 по ул.Металлургов</t>
  </si>
  <si>
    <t>устройство (монтаж) недостающих средств организации и регулирования дорожного движения в районе дома №151 по Московскому шоссе</t>
  </si>
  <si>
    <t>устройство (монтаж) недостающих средств организации и регулирования дорожного движения в районе дома №1 по ул. Грузовая</t>
  </si>
  <si>
    <t>устройство (монтаж) недостающих средств организации и регулирования дорожного движения в районе дома №175 по  Московскому шоссе</t>
  </si>
  <si>
    <t>ремонт Комсомольской площади в районе м-на "ГАММА" (ул. Комсомольская д.102)</t>
  </si>
  <si>
    <t>ул.Германо</t>
  </si>
  <si>
    <t>пер.Ремонтный до ул.Паровозная</t>
  </si>
  <si>
    <t xml:space="preserve">Основное мероприятие 8. </t>
  </si>
  <si>
    <t>Капитальный ремонт участков автомобильных дорог общего пользования местного значения в городе Орёл</t>
  </si>
  <si>
    <t xml:space="preserve">Выполнение работ по разработке проектной и рабочей документации на строительство объекта "Линия искусственного электроосвещения по ул. Высоковольтная в г.Орле" </t>
  </si>
  <si>
    <t>Капитальный ремонт улично-дорожной сети города Орла
по ул. Пионерская</t>
  </si>
  <si>
    <t>Капитальный ремонт улично-дорожной сети города Орла по ул. Деповская</t>
  </si>
  <si>
    <t>Капитальный ремонт улично-дорожной сети города Орла по ул. Кольцевая</t>
  </si>
  <si>
    <t xml:space="preserve">Капитальный ремонт улично-дорожной сети города Орла по пер.Почтовый от ул. Пролетарская Гора до д.16 </t>
  </si>
  <si>
    <t>Капитальный ремонт улично-дорожной сети города Орла по пер. Почтовый от д.6 до ул. Ленина</t>
  </si>
  <si>
    <t>ул.МОПРа (от ул.Комсомольская до спец.пожарно-спасательной части ФПС по Орловской области)</t>
  </si>
  <si>
    <t>обустройство остановки общественного транспорта по ул. Емлютина в районе дома 22; обустройство остановки общественного транспорта по ул. Зеленина в районе дома 4; обустройство остановки общественного транспорта по бул. Молодежи в районе дома 9; обустройство остановок общественного транспорта по ул. Высоковольтная (Сторожка); обустройство парковки для маршрутного транспорта по ул. Николая Сенина.</t>
  </si>
  <si>
    <t>устройство остановочных пунктов</t>
  </si>
  <si>
    <t>Капитальный ремонт улично-дорожной сети города Орла
по ул. Салтыкова-Щедрина, ул. Тургенева от дома № 15 до дома № 19, ул. Полесская от дома № 29А до дома № 18 по ул. Салтыкова-Щедрина, ул. Гуртьева от дома № 2 до дома № 6, ул. Красноармейская от дома № 4 до дома № 6</t>
  </si>
  <si>
    <t>4.16</t>
  </si>
  <si>
    <t>4.17</t>
  </si>
  <si>
    <t>Ремонт ул.Комсомольская (элементы обустройства автомобильных дорог)</t>
  </si>
  <si>
    <t>Ремонт ул. Октябрьская (элементы обустройства автомобильных дорог)</t>
  </si>
  <si>
    <t>Ремонт ул. 60-летия Октября (элементы обустройства автомобильных дорог)</t>
  </si>
  <si>
    <t>4 ед.</t>
  </si>
  <si>
    <t>2.29</t>
  </si>
  <si>
    <t>Устройство наружного освещения по ул.Молдавская (1 этап)</t>
  </si>
  <si>
    <t>Восстановление электроосвещения ул.Генерала армии Ковалева</t>
  </si>
  <si>
    <t>7.1.</t>
  </si>
  <si>
    <t>8.1.</t>
  </si>
  <si>
    <t>8.3.</t>
  </si>
  <si>
    <t>8.2.</t>
  </si>
  <si>
    <t>8.4.</t>
  </si>
  <si>
    <t>МКУ "ОМЗ г.Орла"</t>
  </si>
  <si>
    <t xml:space="preserve">МКУ "ОМЗ г.Орла" </t>
  </si>
  <si>
    <t>установка дорожных знаков и нанесения дорожной разметки</t>
  </si>
  <si>
    <t>устройство (монтаж) недостающих средств организации и регулирования дорожного движения в районе пересечения ул.Трудовые резервы и ул. Генерала Родина</t>
  </si>
  <si>
    <t>Источники финансирования</t>
  </si>
  <si>
    <t>Федеральный бюджет</t>
  </si>
  <si>
    <t>Местный бюджет</t>
  </si>
  <si>
    <t>Сумма</t>
  </si>
  <si>
    <t>В том числе по годам</t>
  </si>
  <si>
    <t>ВСЕГО:</t>
  </si>
  <si>
    <t>тыс.рублей</t>
  </si>
  <si>
    <t>Областной бюджет</t>
  </si>
  <si>
    <t>Ремонт ул. Герцена (элементы обустройства автомобильных дорог)</t>
  </si>
  <si>
    <t>2 ед.</t>
  </si>
  <si>
    <t>Ремонт ул. Московская (элементы обустройства автомобильных дорог)</t>
  </si>
  <si>
    <t>Ремонт Московское шоссе (элементы обустройства автомобильных дорог)</t>
  </si>
  <si>
    <t>Ремонт ул. 5 Августа (элементы обустройства автомобильных дорог)</t>
  </si>
  <si>
    <t>3 ед.</t>
  </si>
  <si>
    <t>Ремонт ул. Горького (элементы обустройства автомобильных дорог)</t>
  </si>
  <si>
    <t>Ремонт ул. Пушкина (элементы обустройства автомобильных дорог)</t>
  </si>
  <si>
    <t>Ремонт ул. Лескова (элементы обустройства автомобильных дорог)</t>
  </si>
  <si>
    <t>Ремонт Новосильское шоссе (элементы обустройства автомобильных дорог)</t>
  </si>
  <si>
    <t>Ремонт Наугорское шоссе (элементы обустройства автомобильных дорог)</t>
  </si>
  <si>
    <t>Ремонт Карачевское шоссе (элементы обустройства автомобильных дорог)</t>
  </si>
  <si>
    <t>Ремонт ул. Ливенская (элементы обустройства автомобильных дорог)</t>
  </si>
  <si>
    <t>Ремонт пер.Маслозаводской (элементы обустройства автомобильных дорог)</t>
  </si>
  <si>
    <t>Ремонт ул. Металлургов (элементы обустройства автомобильных дорог)</t>
  </si>
  <si>
    <t>2.20</t>
  </si>
  <si>
    <t>2.21</t>
  </si>
  <si>
    <t>2.22</t>
  </si>
  <si>
    <t>2.23</t>
  </si>
  <si>
    <t>2.24</t>
  </si>
  <si>
    <t>2.25</t>
  </si>
  <si>
    <t>2.26</t>
  </si>
  <si>
    <t>2.27</t>
  </si>
  <si>
    <t>2.28</t>
  </si>
  <si>
    <t>2.30</t>
  </si>
  <si>
    <t>2.31</t>
  </si>
  <si>
    <t>2.33</t>
  </si>
  <si>
    <t>2.35</t>
  </si>
  <si>
    <t>2.36</t>
  </si>
  <si>
    <t>2.37</t>
  </si>
  <si>
    <t>2.38</t>
  </si>
  <si>
    <t>2.39</t>
  </si>
  <si>
    <t>2.40</t>
  </si>
  <si>
    <t>2.41</t>
  </si>
  <si>
    <t>2.42</t>
  </si>
  <si>
    <t>2.43</t>
  </si>
  <si>
    <t>2.44</t>
  </si>
  <si>
    <t>ВАРИАНТ 1 по факту МАИПа!!!</t>
  </si>
  <si>
    <t>ВАРИАНТ 2 от Далековой (Илья прислал по ватсапу)!!!</t>
  </si>
  <si>
    <t>ВАРИАНТ 3 Илья!</t>
  </si>
  <si>
    <t>Ремонт ул. Паровозная (элементы обустройства автомобильных дорог)</t>
  </si>
  <si>
    <t>Капитальный ремонт улично-дорожной сети города Орла по ул. Пионерская</t>
  </si>
  <si>
    <t>лимиты</t>
  </si>
  <si>
    <t xml:space="preserve">выполнение работ по содержанию автомобильных дорог (объектов БДД) </t>
  </si>
  <si>
    <t xml:space="preserve">ямочный ремонт </t>
  </si>
  <si>
    <t>МУП Спецавтобаза (регламентные работы+ямочный ремонт)</t>
  </si>
  <si>
    <t>МП 8</t>
  </si>
  <si>
    <t>Наименование мероприятия</t>
  </si>
  <si>
    <t>потребность</t>
  </si>
  <si>
    <t>факт на 11.10.22</t>
  </si>
  <si>
    <t>руб.</t>
  </si>
  <si>
    <t>4.1.</t>
  </si>
  <si>
    <t>выполнены</t>
  </si>
  <si>
    <t>в работе</t>
  </si>
  <si>
    <t>выполнены, прямой контракт</t>
  </si>
  <si>
    <t>1.1.5.</t>
  </si>
  <si>
    <t>прокладка кабельной линии вдоль площади Богоявленского, Боговленского собора для проведения праздничных имероприятий на УДС г. Орла</t>
  </si>
  <si>
    <t>тех.присоединение к эл.сетям</t>
  </si>
  <si>
    <t>Тех.присоединение к эл.сетям</t>
  </si>
  <si>
    <t>за счет освещения</t>
  </si>
  <si>
    <t>восстановление тротуаров в местах проведения работ по корчевке пней по г. Орле</t>
  </si>
  <si>
    <t>ремонт пешеходной зоны в р-не ул. Правый берег реки Орлик</t>
  </si>
  <si>
    <t>монтаж внешнего электроснабжения средств контроля соблюдения ПДД, согласно ТУ  7120 от 30.11.2021 г. (оплачено по счету № 2675 от 30.11.2021 г. в сумме 32787,18 руб.) - нерегулируемый пешеходный переход</t>
  </si>
  <si>
    <t>ремонт тротуара (схода) по ул. Московская, 29 со стороны ул. Революции (Решение Советского районного суда по делу № 2-570/2021)</t>
  </si>
  <si>
    <t xml:space="preserve">устройство пешеходной дорожки по ул. Матвеева в р-не школы № 36 </t>
  </si>
  <si>
    <t>поставка и установка  остановочного павильона на остановке общественного транспорта "Госуниверсистет"</t>
  </si>
  <si>
    <t>2.14</t>
  </si>
  <si>
    <t>2.32</t>
  </si>
  <si>
    <t>2.34</t>
  </si>
  <si>
    <t>2.45</t>
  </si>
  <si>
    <t>2.46</t>
  </si>
  <si>
    <t>2.47</t>
  </si>
  <si>
    <t>2.48</t>
  </si>
  <si>
    <t>работы по монтажу дополнительного ограждения моста "Дружба"</t>
  </si>
  <si>
    <t>обустройство остановки общ. транспорта по ул. Емлютина в районе дома 22; обустройство остановки общественного транспорта по ул. Зеленина в районе дома 4; обустройство остановки общ. транспорта по бул. Молодежи в районе дома 9; обустройство остановок общественного транспорта по ул. Высоковольтная (Сторожка); обустройство парковки для маршрутного транспорта по ул. Николая Сенина.</t>
  </si>
  <si>
    <t>Капитальный ремонт улично-дорожной сети города Орла по ул. Энгельса</t>
  </si>
  <si>
    <t>ул.Комсомольская от Карачевского шоссе до Кромского шоссе (проезжая часть)</t>
  </si>
  <si>
    <t>подходы к мостам прошлого года!!!</t>
  </si>
  <si>
    <t xml:space="preserve">Восстановление уличного освещения по улице Кузнецова </t>
  </si>
  <si>
    <t>октябрьская на пересечении от приборостроительной до игнатьова (четная сторона)</t>
  </si>
  <si>
    <t>/км.м</t>
  </si>
  <si>
    <t>/км</t>
  </si>
  <si>
    <t xml:space="preserve">Площадь отремонтированных объектов УДС города Орла -                                                </t>
  </si>
  <si>
    <t>Восстановление электроосвещения на ул.Пионерская на пересечении с ул.Октябрьская в районе где фундаменталка</t>
  </si>
  <si>
    <t>аренда опор контактной сети, расположенных в полосе отвода улично-дорожной сети города Орла, для возможности крепления и подвешивания UTP. СИП, телекоммуникационных шкафов и камер видеонаблюдения</t>
  </si>
  <si>
    <t>8.5.</t>
  </si>
  <si>
    <t>4.2.</t>
  </si>
  <si>
    <t>4.3.</t>
  </si>
  <si>
    <r>
      <t>ремонт пешеходной дорожки от ул. Матвеева до лицея № 21 вдоль д. № 11а, 13а, 25 а по ул. Игнатова</t>
    </r>
    <r>
      <rPr>
        <b/>
        <sz val="13"/>
        <color theme="1"/>
        <rFont val="Times New Roman"/>
        <family val="1"/>
        <charset val="204"/>
      </rPr>
      <t xml:space="preserve"> </t>
    </r>
  </si>
  <si>
    <t>ул.Сурена-Шаумяна</t>
  </si>
  <si>
    <t>ул.1-ая Посадская от ул.Комсомольская до Тургеневского моста</t>
  </si>
  <si>
    <t>/кв.м</t>
  </si>
  <si>
    <t>8.6.</t>
  </si>
  <si>
    <t>2.10.</t>
  </si>
  <si>
    <t>Капитальный ремонт улично-дорожной сети города Орла по ул.Беговая-ул.Благининой на участке от Московского шоссе до границы города Орла</t>
  </si>
  <si>
    <t>от ________________202___ №___________</t>
  </si>
  <si>
    <t>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t>
  </si>
  <si>
    <t>Ремонт, капитальный 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t>
  </si>
  <si>
    <t xml:space="preserve">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   </t>
  </si>
  <si>
    <t>ул. Комсомольская от Карачевского шоссе до Кромского шоссе (проезжая часть)</t>
  </si>
  <si>
    <t>ул. Комсомольская от Карачевского шоссе до Кромского шоссе (прилегающая территория)</t>
  </si>
  <si>
    <t>восстановление существующего остановочного павильона на остановке общевенного транспорта "Сквер Гуртьева" по   ул. Октябрьская</t>
  </si>
  <si>
    <t xml:space="preserve">ремонт пешеходной дорожки от ул. Матвеева до лицея № 21 вдоль д. № 11а, 13а, 25 а по ул. Игнатова </t>
  </si>
  <si>
    <t>Капитальный ремонт улично-дорожной сети города Орла по ул. Полярная</t>
  </si>
  <si>
    <t>Капитальный ремонт автомобильной дороги ул.Комсомольская от Карачевского шоссе до Кромского шоссе (прилегающая территория)</t>
  </si>
  <si>
    <t>8.7.</t>
  </si>
  <si>
    <t>8.8.</t>
  </si>
  <si>
    <t>8.9.</t>
  </si>
  <si>
    <t>2.5.</t>
  </si>
  <si>
    <t>Ремонт участка в районе дома № 29 со стороны ул.Революции в городе Орле</t>
  </si>
  <si>
    <t>20 ед.</t>
  </si>
  <si>
    <t>Ремонт ул.Раздольная (элементы обустройства автомобильных дорог)</t>
  </si>
  <si>
    <t>Ремонт ул.Грузовая (элементы обустройства автомобильных дорог)</t>
  </si>
  <si>
    <t>Ремонт ул.Р.Люксембург (элементы обустройства автомобильных дорог)</t>
  </si>
  <si>
    <t>Ремонт Кромское шоссе (элементы обустройства автомобильных дорог)</t>
  </si>
  <si>
    <t>Ремонт ул.6-ой Орловской дивизии (элементы обустройства автомобильных дорог)</t>
  </si>
  <si>
    <t>Ремонт ул.МОПРа  (элементы обустройства автомобильных дорог)</t>
  </si>
  <si>
    <t>2.11.</t>
  </si>
  <si>
    <t>2.12.</t>
  </si>
  <si>
    <t>2.13.</t>
  </si>
  <si>
    <t>2.14.</t>
  </si>
  <si>
    <t>2.15.</t>
  </si>
  <si>
    <t>2.16.</t>
  </si>
  <si>
    <t>8.10.</t>
  </si>
  <si>
    <t>8.11.</t>
  </si>
  <si>
    <t>8.12.</t>
  </si>
  <si>
    <t>8.13.</t>
  </si>
  <si>
    <t>8.14.</t>
  </si>
  <si>
    <t>закупка дорожной техники (термос-бункер-1 ед., комбинированная дорожная машина-4 ед., грузовой автомобиль-2 ед., автогрейдер-1 ед.,лаповый снегопогрузчик-2 ед., шнекороторный снегоочиститель-1 ед., трактор-5 ед., фронтальный погрузчик-1 ед.)</t>
  </si>
  <si>
    <t>кредиторская задолженность предыдущих лет (объект 2022 года)</t>
  </si>
  <si>
    <t>Наименование объекта</t>
  </si>
  <si>
    <t>Ремонт ул.Городская (элементы обустройства автомобильных дорог)</t>
  </si>
  <si>
    <t>2.17.</t>
  </si>
  <si>
    <t>2.18.</t>
  </si>
  <si>
    <t>Ремонт ул.Полярная (элементы обустройства автомобильных дорог)</t>
  </si>
  <si>
    <t>2.19.</t>
  </si>
  <si>
    <t>2.20.</t>
  </si>
  <si>
    <t>ул.Раздольная от ул.Бурова до кольцевой развязки</t>
  </si>
  <si>
    <t>2.21.</t>
  </si>
  <si>
    <t>Капитальный ремонт улично-дорожной сети города Орла по ул.Колхозная (на участке от моста в створе ул.Колхозная до ул. Энгельса)</t>
  </si>
  <si>
    <t>городские деньги</t>
  </si>
  <si>
    <t>2.22.</t>
  </si>
  <si>
    <t>Ремонт ул.1-я Курская (элементы обустройства автомобильных дорог)</t>
  </si>
  <si>
    <t>Ремонт ул. Садово-Пушкарная (сквер "Комсомольцев") (элементы обустройства автомобильных дорог)</t>
  </si>
  <si>
    <t>2.23.</t>
  </si>
  <si>
    <t>2.24.</t>
  </si>
  <si>
    <t>Ремонт ул. Скворцова (элементы обустройства автомобильных дорог)</t>
  </si>
  <si>
    <t>2.25.</t>
  </si>
  <si>
    <t>Ремонт ул. Поселковая (элементы обустройства автомобильных дорог)</t>
  </si>
  <si>
    <t>2.26.</t>
  </si>
  <si>
    <t>33 ед.</t>
  </si>
  <si>
    <t>ФАКТ</t>
  </si>
  <si>
    <t>ИТОГО:</t>
  </si>
  <si>
    <t xml:space="preserve">Снос опор </t>
  </si>
  <si>
    <t>Кредиторская задолженность</t>
  </si>
  <si>
    <t>СОГЛАШЕНИЕ</t>
  </si>
  <si>
    <t>Возврат ден.средств в Дор.фонд</t>
  </si>
  <si>
    <t>3.6.</t>
  </si>
  <si>
    <t>3.7.</t>
  </si>
  <si>
    <t>Ремонт ул. Цветаева (элементы обустройства автомобильных дорог)</t>
  </si>
  <si>
    <t>Ремонт пл.Комсомольская (элементы обустройства автомобильных дорог)</t>
  </si>
  <si>
    <t>30 ед.</t>
  </si>
  <si>
    <t>10 ед.</t>
  </si>
  <si>
    <t>Ремонт Старомосковское шоссе (элементы обустройства автомобильных дорог)</t>
  </si>
  <si>
    <t>Ремонт ул.Игнатова (элементы обустройства автомобильных дорог)</t>
  </si>
  <si>
    <t>Ремонт пл.Богоявленской (элементы обустройства автомобильных дорог)</t>
  </si>
  <si>
    <t>Ремонт ул.Гуртьева (элементы обустройства автомобильных дорог)</t>
  </si>
  <si>
    <t>7 ед.</t>
  </si>
  <si>
    <t>Ремонт ул.Левый Берег реки Орлик "ТРУД" (элементы обустройства автомобильных дорог)</t>
  </si>
  <si>
    <t>2.27.</t>
  </si>
  <si>
    <t>2.28.</t>
  </si>
  <si>
    <t>2.29.</t>
  </si>
  <si>
    <t>2.30.</t>
  </si>
  <si>
    <t>2.31.</t>
  </si>
  <si>
    <t>2.32.</t>
  </si>
  <si>
    <t>2.33.</t>
  </si>
  <si>
    <t>средства бюджетного кредита</t>
  </si>
  <si>
    <t>Средства бюджетного кредита</t>
  </si>
  <si>
    <t>Ремонт улично-дорожной сети города Орла: ул.Бурова</t>
  </si>
  <si>
    <t>тыс.руб.</t>
  </si>
  <si>
    <t>ЛБО</t>
  </si>
  <si>
    <t>Средства бюджетного кредита нац.проект БКД</t>
  </si>
  <si>
    <t>МП 7</t>
  </si>
  <si>
    <t>Примечание</t>
  </si>
  <si>
    <t>Распределение бюджетных ассигнований Дорожного фонда Орловской областипо состоянию на 02.08.2023</t>
  </si>
  <si>
    <t>Капитальный ремонт автомобильных дорог города Орла на улицах частной жилой застройки: ул. Контактная</t>
  </si>
  <si>
    <t>Капитальный ремонт автомобильных дорог города Орла на улицах частной жилой застройки: пер. Тепловозный</t>
  </si>
  <si>
    <t>Капитальный ремонт автомобильных дорог города Орла на улицах частной жилой застройки: ул. Полтавская</t>
  </si>
  <si>
    <t>Капитальный ремонт автомобильных дорог города Орла на улицах частной жилой застройки: ул. Андриабужная</t>
  </si>
  <si>
    <t>Капитальный ремонт автомобильных дорог города Орла на улицах частной жилой застройки: пер. Самарский</t>
  </si>
  <si>
    <t>Капитальный ремонт автомобильных дорог города Орла на улицах частной жилой застройки: ул. Крестьянская</t>
  </si>
  <si>
    <t>Капитальный ремонт автомобильных дорог города Орла на улицах частной жилой застройки: ул. Пришвина</t>
  </si>
  <si>
    <t>Капитальный ремонт автомобильных дорог города Орла на улицах частной жилой застройки: ул. Электровозная</t>
  </si>
  <si>
    <t>Капитальный ремонт автомобильных дорог города Орла на улицах частной жилой застройки: туп. Медведевский</t>
  </si>
  <si>
    <t>Капитальный ремонт автомобильных дорог города Орла на улицах частной жилой застройки: пер. Торцовый</t>
  </si>
  <si>
    <t>Капитальный ремонт автомобильных дорог города Орла на улицах частной жилой застройки: пер. Шахматный</t>
  </si>
  <si>
    <t>Капитальный ремонт автомобильных дорог города Орла на улицах частной жилой застройки: пер. Прядильный</t>
  </si>
  <si>
    <t>Капитальный ремонт автомобильных дорог города Орла на улицах частной жилой застройки: пер. Локомотивный</t>
  </si>
  <si>
    <t>Капитальный ремонт автомобильных дорог города Орла на улицах частной жилой застройки: пер. Вагонный</t>
  </si>
  <si>
    <t>Капитальный ремонт автомобильных дорог города Орла на улицах частной жилой застройки: пер. Бригадный</t>
  </si>
  <si>
    <t>Капитальный ремонт автомобильных дорог города Орла на улицах частной жилой застройки: пер. Хлебный</t>
  </si>
  <si>
    <t>Капитальный ремонт автомобильных дорог города Орла на улицах частной жилой застройки: пер. Тупиковый</t>
  </si>
  <si>
    <t>Капитальный ремонт автомобильных дорог города Орла на улицах частной жилой застройки: ул. Ново-Прядильная</t>
  </si>
  <si>
    <t>Капитальный ремонт автомобильных дорог города Орла на улицах частной жилой застройки: пер. Пожарный</t>
  </si>
  <si>
    <t>Капитальный ремонт автомобильных дорог города Орла на улицах частной жилой застройки: ул. Белинского</t>
  </si>
  <si>
    <t>Капитальный ремонт автомобильных дорог города Орла на улицах частной жилой застройки: пер. Культурный</t>
  </si>
  <si>
    <t>Капитальный ремонт автомобильных дорог города Орла на улицах частной жилой застройки: ул.Заводская</t>
  </si>
  <si>
    <t>Капитальный ремонт автомобильных дорог города Орла на улицах частной жилой застройки: ул. 1 Пушкарная</t>
  </si>
  <si>
    <t>Капитальный ремонт автомобильных дорог города Орла на улицах частной жилой застройки: ул. 2 Пушкарная</t>
  </si>
  <si>
    <t>Капитальный ремонт автомобильных дорог города Орла на улицах частной жилой застройки: ул. Зеленый Берег</t>
  </si>
  <si>
    <t>Капитальный ремонт автомобильных дорог города Орла на улицах частной жилой застройки: наб. Есенина</t>
  </si>
  <si>
    <t>Капитальный ремонт автомобильных дорог города Орла на улицах частной жилой застройки: ул. Чапаева</t>
  </si>
  <si>
    <t>Капитальный ремонт автомобильных дорог города Орла на улицах частной жилой застройки: ул. Панчука</t>
  </si>
  <si>
    <t>Капитальный ремонт автомобильных дорог города Орла на улицах частной жилой застройки: ул. Достоевского</t>
  </si>
  <si>
    <t>Капитальный ремонт автомобильных дорог города Орла на улицах частной жилой застройки: ул. Циолковского</t>
  </si>
  <si>
    <t>Капитальный ремонт автомобильных дорог города Орла на улицах частной жилой застройки: ул. Андреева</t>
  </si>
  <si>
    <t>Капитальный ремонт автомобильных дорог города Орла на улицах частной жилой застройки: ул. Спивака</t>
  </si>
  <si>
    <t>Капитальный ремонт автомобильных дорог города Орла на улицах частной жилой застройки: ул. Чайкиной</t>
  </si>
  <si>
    <t>Капитальный ремонт автомобильных дорог города Орла на улицах частной жилой застройки: ул. Земнухова</t>
  </si>
  <si>
    <t>Капитальный ремонт автомобильных дорог города Орла на улицах частной жилой застройки: ул. Кошевого</t>
  </si>
  <si>
    <t>Капитальный ремонт автомобильных дорог города Орла на улицах частной жилой застройки: ул. Тюленина</t>
  </si>
  <si>
    <t>Капитальный ремонт автомобильных дорог города Орла на улицах частной жилой застройки: ул. Громовой</t>
  </si>
  <si>
    <t>Капитальный ремонт автомобильных дорог города Орла на улицах частной жилой застройки: пер. Шевцовой</t>
  </si>
  <si>
    <t xml:space="preserve">Капитальный ремонт автомобильных дорог города Орла на улицах частной жилой застройки: ул. Островского </t>
  </si>
  <si>
    <t>Капитальный ремонт автомобильных дорог города Орла на улицах частной жилой застройки: ул. Моховая</t>
  </si>
  <si>
    <t>Капитальный ремонт автомобильных дорог города Орла на улицах частной жилой застройки: ул. Калужская</t>
  </si>
  <si>
    <t>Капитальный ремонт автомобильных дорог города Орла на улицах частной жилой застройки: ул. Восточная</t>
  </si>
  <si>
    <t>Капитальный ремонт автомобильных дорог города Орла на улицах частной жилой застройки: ул. Ольховецкая</t>
  </si>
  <si>
    <t>Капитальный ремонт автомобильных дорог города Орла на улицах частной жилой застройки: ул. Шульгина 2 этап</t>
  </si>
  <si>
    <t>Капитальный ремонт автомобильных дорог города Орла на улицах частной жилой застройки: ул. Придорожная</t>
  </si>
  <si>
    <t>Капитальный ремонт автомобильных дорог города Орла на улицах частной жилой застройки: ул. Мебельная</t>
  </si>
  <si>
    <t>Капитальный ремонт автомобильных дорог города Орла на улицах частной жилой застройки: пер. Краснозоренский</t>
  </si>
  <si>
    <t>Капитальный ремонт автомобильных дорог города Орла на улицах частной жилой застройки: пер. Столярный</t>
  </si>
  <si>
    <t>Капитальный ремонт автомобильных дорог города Орла на улицах частной жилой застройки: ул. Благининой</t>
  </si>
  <si>
    <t>Капитальный ремонт автомобильных дорог города Орла на улицах частной жилой застройки: ул. Надежды</t>
  </si>
  <si>
    <t>Капитальный ремонт автомобильных дорог города Орла на улицах частной жилой застройки: ул. Сечкина</t>
  </si>
  <si>
    <t>Капитальный ремонт автомобильных дорог города Орла на улицах частной жилой застройки: пер. Сечкина</t>
  </si>
  <si>
    <t>Капитальный ремонт автомобильных дорог города Орла на улицах частной жилой застройки: ул. Героев Чекистов</t>
  </si>
  <si>
    <t>Капитальный ремонт автомобильных дорог города Орла на улицах частной жилой застройки: ул. Героев Милиционеров</t>
  </si>
  <si>
    <t>Капитальный ремонт автомобильных дорог города Орла на улицах частной жилой застройки: ул.Турбина</t>
  </si>
  <si>
    <t>Капитальный ремонт автомобильных дорог города Орла на улицах частной жилой застройки: ул.Кривцова</t>
  </si>
  <si>
    <t>Капитальный ремонт автомобильных дорог города Орла на улицах частной жилой застройки: пер.Приокский-ул.Отрадная</t>
  </si>
  <si>
    <t>Капитальный ремонт автомобильных дорог города Орла на улицах частной жилой застройки: ул.Приокская</t>
  </si>
  <si>
    <t>Капитальный ремонт автомобильных дорог города Орла на улицах частной жилой застройки: пер.Городской</t>
  </si>
  <si>
    <t>Капитальный ремонт автомобильных дорог города Орла на улицах частной жилой застройки: ул.Скульптурная</t>
  </si>
  <si>
    <t>Капитальный ремонт автомобильных дорог города Орла на улицах частной жилой застройки: ул.Линейная</t>
  </si>
  <si>
    <t>Капитальный ремонт автомобильных дорог города Орла на улицах частной жилой застройки: ул.Менделеева</t>
  </si>
  <si>
    <t>Капитальный ремонт автомобильных дорог города Орла на улицах частной жилой застройки: ул.Степная</t>
  </si>
  <si>
    <t>Капитальный ремонт автомобильных дорог города Орла на улицах частной жилой застройки: ул.Яблочная</t>
  </si>
  <si>
    <t>Капитальный ремонт автомобильных дорог города Орла на улицах частной жилой застройки: пер.Половецкий</t>
  </si>
  <si>
    <t>Капитальный ремонт автомобильных дорог города Орла на улицах частной жилой застройки: ул.Серпуховская</t>
  </si>
  <si>
    <t>Капитальный ремонт автомобильных дорог города Орла на улицах частной жилой застройки: ул.Елецкая</t>
  </si>
  <si>
    <t>Капитальный ремонт автомобильных дорог города Орла на улицах частной жилой застройки: ул.Мичурина</t>
  </si>
  <si>
    <t>Капитальный ремонт автомобильных дорог города Орла на улицах частной жилой застройки: ул.Радищева</t>
  </si>
  <si>
    <t>Капитальный ремонт автомобильных дорог города Орла на улицах частной жилой застройки: ул. 3 Курская от ул. Магазинной до дома 94</t>
  </si>
  <si>
    <t>Капитальный ремонт автомобильных дорог города Орла на улицах частной жилой застройки: ул. Полигонная</t>
  </si>
  <si>
    <t>Капитальный ремонт автомобильных дорог города Орла на улицах частной жилой застройки: ул. Дружбы</t>
  </si>
  <si>
    <t>Капитальный ремонт автомобильных дорог города Орла на улицах частной жилой застройки: пер. Ковыльный</t>
  </si>
  <si>
    <t>Капитальный ремонт автомобильных дорог города Орла на улицах частной жилой застройки: пер. Лужковский</t>
  </si>
  <si>
    <t>Капитальный ремонт автомобильных дорог города Орла на улицах частной жилой застройки: пер. Менделеева</t>
  </si>
  <si>
    <t>Капитальный ремонт автомобильных дорог города Орла на улицах частной жилой застройки: пер. Еловый</t>
  </si>
  <si>
    <t>Капитальный ремонт автомобильных дорог города Орла на улицах частной жилой застройки: ул. Светлая</t>
  </si>
  <si>
    <t>Капитальный ремонт автомобильных дорог города Орла на улицах частной жилой застройки: пер. Грибной</t>
  </si>
  <si>
    <t>Капитальный ремонт автомобильных дорог города Орла на улицах частной жилой застройки: ул. Заречная</t>
  </si>
  <si>
    <t>Капитальный ремонт автомобильных дорог города Орла на улицах частной жилой застройки: ул. Афонина</t>
  </si>
  <si>
    <t>Капитальный ремонт автомобильных дорог города Орла на улицах частной жилой застройки: пер. Отрадный</t>
  </si>
  <si>
    <t>Капитальный ремонт автомобильных дорог города Орла на улицах частной жилой застройки: ул. Пойменная 1 этап</t>
  </si>
  <si>
    <t>Капитальный ремонт автомобильных дорог города Орла на улицах частной жилой застройки: ул. Пойменная 2 этап</t>
  </si>
  <si>
    <t>Капитальный ремонт автомобильных дорог города Орла на улицах частной жилой застройки: пер. Преображенского</t>
  </si>
  <si>
    <t>Капитальный ремонт автомобильных дорог города Орла на улицах частной жилой застройки: ул. Радужная</t>
  </si>
  <si>
    <t>Капитальный ремонт автомобильных дорог города Орла на улицах частной жилой застройки: пер. Скульптурный</t>
  </si>
  <si>
    <t>Капитальный ремонт автомобильных дорог города Орла на улицах частной жилой застройки: пер. Лебединый</t>
  </si>
  <si>
    <t>Капитальный ремонт автомобильных дорог города Орла на улицах частной жилой застройки: пер. Проходной</t>
  </si>
  <si>
    <t>Капитальный ремонт автомобильных дорог города Орла на улицах частной жилой застройки: пер. Заливной</t>
  </si>
  <si>
    <t>Капитальный ремонт автомобильных дорог города Орла на улицах частной жилой застройки: ул. Преображенского</t>
  </si>
  <si>
    <t>Капитальный ремонт автомобильных дорог города Орла на улицах частной жилой застройки: пер. Донской</t>
  </si>
  <si>
    <t>Капитальный ремонт автомобильных дорог города Орла на улицах частной жилой застройки: туп. Стеклянный</t>
  </si>
  <si>
    <t>Капитальный ремонт автомобильных дорог города Орла на улицах частной жилой застройки: пер. Стеклянный</t>
  </si>
  <si>
    <t>Капитальный ремонт автомобильных дорог города Орла на улицах частной жилой застройки: пер. Игрушечный</t>
  </si>
  <si>
    <t>Капитальный ремонт автомобильных дорог города Орла на улицах частной жилой застройки: туп. Линейный</t>
  </si>
  <si>
    <t>Капитальный ремонт автомобильных дорог города Орла на улицах частной жилой застройки: ул. Чкалова</t>
  </si>
  <si>
    <t>Капитальный ремонт автомобильных дорог города Орла на улицах частной жилой застройки: ул. Лесопильная</t>
  </si>
  <si>
    <t>Капитальный ремонт автомобильных дорог города Орла на улицах частной жилой застройки: ул. Деревообделочная</t>
  </si>
  <si>
    <t>Капитальный ремонт автомобильных дорог города Орла на улицах частной жилой застройки: ул. Высокая</t>
  </si>
  <si>
    <t>Капитальный ремонт автомобильных дорог города Орла на улицах частной жилой застройки: ул. Полевая</t>
  </si>
  <si>
    <t>Капитальный ремонт автомобильных дорог города Орла на улицах частной жилой застройки: ул. Шульгина 1 этап</t>
  </si>
  <si>
    <t>Капитальный ремонт автомобильных дорог города Орла на улицах частной жилой застройки: пер. Кировский</t>
  </si>
  <si>
    <t>Капитальный ремонт автомобильных дорог города Орла на улицах частной жилой застройки: пер. Смоленский</t>
  </si>
  <si>
    <t>Капитальный ремонт автомобильных дорог города Орла на улицах частной жилой застройки: ул. Текстильная</t>
  </si>
  <si>
    <t>Капитальный ремонт автомобильных дорог города Орла на улицах частной жилой застройки: ул. Лазо</t>
  </si>
  <si>
    <t>Капитальный ремонт улично-дорожной сети города Орла: ул.Карачевская, ул.Гостиная, ул.Пушкина</t>
  </si>
  <si>
    <t>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t>
  </si>
  <si>
    <t>ФБ</t>
  </si>
  <si>
    <t>город</t>
  </si>
  <si>
    <t>ИТОГО</t>
  </si>
  <si>
    <t>Капитальный ремонт автомобильной дороги города Орла по ул. Раздольная от Болховского шоссе до ул. Михалицына с территорией моста через р. Ока "Раздольный" и путепровода "378 км по ул. Михалицына"</t>
  </si>
  <si>
    <t>фб</t>
  </si>
  <si>
    <t>дор.фонд</t>
  </si>
  <si>
    <t>ремонт автомобильной дороги города Орла по ул. Раздольная от ул. Бурова до кольцевой развязки</t>
  </si>
  <si>
    <t>МКУ "ОМЗ г.Орла",                   МБУ "Спецавтобаза по  санитарной очистке города Орла"</t>
  </si>
  <si>
    <t>8.15.</t>
  </si>
  <si>
    <t>область</t>
  </si>
  <si>
    <t>федерация</t>
  </si>
  <si>
    <t>сняли</t>
  </si>
  <si>
    <t>Капитальный ремонт проезда к озеру Светлая жизнь</t>
  </si>
  <si>
    <t>лимиты 2024 года</t>
  </si>
  <si>
    <t>7.5.</t>
  </si>
  <si>
    <t>7.7.</t>
  </si>
  <si>
    <t>нанесение дорожной разметки на ул. М. Горького, на участке дороги пл. Ленина до ул. 70 лет Октября (краска, не входящая в основной МК по БДД)</t>
  </si>
  <si>
    <t>монтаж внешнего электроснабжения средств контроля соблюдения ПДД, согласно ТУ  7120 от 30.11.2021 г. (оплачено по счету № 2775 от 30.11.2021 г. в сумме 32787,18 руб.) - нерегулируемый пешеходный переход</t>
  </si>
  <si>
    <t xml:space="preserve">устройство пешеходной дорожки по ул. Матвеева в р-не школы № 37 </t>
  </si>
  <si>
    <t>устройство (монтаж) недостающих средств организации и регулирования дорожного движения в районе дома 
№ 97 по Наугорскому шоссе</t>
  </si>
  <si>
    <t>устройство (монтаж) недостающих средств организации и регулирования дорожного движения по ул.Паровозная в районе д.72, д.27, д.17А, д.4, д.14 (кредиторская задолженность)</t>
  </si>
  <si>
    <t>устройство (монтаж) недостающих средств организации и регулирования дорожного движения в районе д.177 по Московскому шоссе</t>
  </si>
  <si>
    <t>устройство (монтаж) недостающих средств организации и регулирования дорожного движения ул.Матвеева в районе школы №37</t>
  </si>
  <si>
    <t>7.2.</t>
  </si>
  <si>
    <t>7.3.</t>
  </si>
  <si>
    <t>7.4.</t>
  </si>
  <si>
    <t>Капитальный ремонт улично-дорожной сети города Орла по ул. Салтыкова-Щедрина с территорией прилегающих улиц (ул. 7 Ноября от дома № 8 до дома № 9 по ул. Салтыкова-Щедрина, ул. Тургенева от ул. Салтыкова-Щедрина до ул. Октябрьская, ул. Брестская от ул. Максима Горького до ул. Салтыкова-Щедрина, ул. Полесская от ул. Салтыкова-Щедрина до ул. Октябрьская, ул. Гуртьева от дома № 2 до ул. Максима Горького, ул. Красноармейская от дома № 4 до дома № 7).</t>
  </si>
  <si>
    <t>1.1.7.</t>
  </si>
  <si>
    <t>Ремонт ул.7-ой Орловской дивизии (элементы обустройства автомобильных дорог)</t>
  </si>
  <si>
    <t>Протяженность, м</t>
  </si>
  <si>
    <t>Сумма, рублей</t>
  </si>
  <si>
    <t>Перечень улиц согласно МК 56 от</t>
  </si>
  <si>
    <t>Капитальный ремонт автомобильных дорог города Орла на улицах частной жилой застройки: ул.Волжская</t>
  </si>
  <si>
    <t>Капитальный ремонт автомобильных дорог города Орла на улицах частной жилой застройки: ул.Гвардейская</t>
  </si>
  <si>
    <t xml:space="preserve">Капитальный ремонт автомобильных дорог города Орла на улицах частной жилой застройки: ул. Магазинная </t>
  </si>
  <si>
    <t>Капитальный ремонт автомобильных дорог города Орла на улицах частной жилой застройки: пер. Пойменный</t>
  </si>
  <si>
    <t>Капитальный ремонт автомобильных дорог города Орла на улицах частной жилой застройки: Равнинный пер.</t>
  </si>
  <si>
    <t>Капитальный ремонт автомобильных дорог города Орла на улицах частной жилой застройки: проезд Парковый</t>
  </si>
  <si>
    <t>Капитальный ремонт автомобильных дорог города Орла на улицах частной жилой застройки:ул. Садово-Пушкарная</t>
  </si>
  <si>
    <t>7.6.</t>
  </si>
  <si>
    <t>обеспечение информационной безопасности объекта КИИ</t>
  </si>
  <si>
    <t>МКУ "ОМЗ г.Орла"                                           МБУ "Спецавтобаза по  санитарной очистке города Орла"</t>
  </si>
  <si>
    <t>МБУ "Спецавтобаза по  санитарной очистке города Орла"</t>
  </si>
  <si>
    <t>МКУ "ОМЗ г.Орла"                                                                        МБУ "Спецавтобаза по  санитарной очистке города Орла"</t>
  </si>
  <si>
    <t>МКУ "ОМЗ г.Орла"                                    МБУ "Спецавтобаза по  санитарной очистке города Орла"</t>
  </si>
  <si>
    <t>1.8.</t>
  </si>
  <si>
    <t>Капитальный ремонт автомобильных дорог города Орла на улицах частной жилой застройки: ул. Краснозоренская</t>
  </si>
  <si>
    <t>проезд вдоль дома № 52 по ул. Роза Люксембург</t>
  </si>
  <si>
    <t>проезд по ул. Нормандия Неман д.№ 101</t>
  </si>
  <si>
    <t>увеличение уровня освещенности автомобильных дорог</t>
  </si>
  <si>
    <t>ул. Кузнецова</t>
  </si>
  <si>
    <t>ул. Лескова от ул. Матвеева до ул. Пионерской</t>
  </si>
  <si>
    <t>ул. Октябрьская от ул. Пионерская до ул. Полесская</t>
  </si>
  <si>
    <t>ул.60-летия Октября от ул. 8 Марта до моста в створе ул. Герцена и ул. 60-летия Октября через р.Оку (включая проезжую часть моста)</t>
  </si>
  <si>
    <t>ул.Ленина от ул.Салтыкова-Щедрина до ул.Максима Горького</t>
  </si>
  <si>
    <t>ул.Покровская от ул.Московская до ул.Советская</t>
  </si>
  <si>
    <t>1.1.6.</t>
  </si>
  <si>
    <t xml:space="preserve">выполнение работ по разметке и демаркировке разметки проезжей части дорог в рамках БДД </t>
  </si>
  <si>
    <t>выполнение работ по содержанию и обслуживанию объектов безопасности дорожного движения (светофоры, знаки)</t>
  </si>
  <si>
    <t>восстановление существующего остановочного павильона на остановке общевенного транспорта "Сквер Гуртьева" по ул. Октябрьская</t>
  </si>
  <si>
    <t>ул. Поселковая от моста «Лужковский» через реку Оку до границы города Орла</t>
  </si>
  <si>
    <t>ул. Алроса;</t>
  </si>
  <si>
    <t>ул. Зеленина;</t>
  </si>
  <si>
    <t>бульвар Молодежи</t>
  </si>
  <si>
    <t>ул. 1-я Курская от дома № 92 до ул. Магазинная (исключая территорию путепровода)</t>
  </si>
  <si>
    <t>ул. Раздольная от ул. Бурова до ул. Металлургов</t>
  </si>
  <si>
    <t>Ремонт улично-дорожной сети города Орла: ул.Бурова (завершение)</t>
  </si>
  <si>
    <t>6.1</t>
  </si>
  <si>
    <t>6.2</t>
  </si>
  <si>
    <t>6.3</t>
  </si>
  <si>
    <t>6.4</t>
  </si>
  <si>
    <t>6.5</t>
  </si>
  <si>
    <t>6.6</t>
  </si>
  <si>
    <t>6.7</t>
  </si>
  <si>
    <t>6.8</t>
  </si>
  <si>
    <t>6.9</t>
  </si>
  <si>
    <t>6.10</t>
  </si>
  <si>
    <t>6.11</t>
  </si>
  <si>
    <t>Капитальный ремонт автомобильных дорог города Орла на улицах частной жилой застройки: пер.Южный 3 участок</t>
  </si>
  <si>
    <t>Капитальный ремонт автомобильных дорог города Орла на улицах частной жилой застройки: ул. 6 Орловской дивизии (на участке от ул. Афонина до ул. Поселковая)</t>
  </si>
  <si>
    <t>Капитальный ремонт автомобильных дорог города Орла на улицах частной жилой застройки: ул. Тимирязева</t>
  </si>
  <si>
    <t xml:space="preserve">Капитальный ремонт автомобильных дорог города Орла на улицах частной жилой застройки: ул. Медведева </t>
  </si>
  <si>
    <t>Капитальный ремонт автомобильной дороги по ул. Красина</t>
  </si>
  <si>
    <t xml:space="preserve">Капитальный ремонт автомобильной дороги по ул. Красноармейская </t>
  </si>
  <si>
    <t xml:space="preserve">Капитальный ремонт автомобильной дороги по ул. Сурена Шаумяна </t>
  </si>
  <si>
    <t>Капитальный ремонт автомобильной дороги по ул Тургенева на участке от ул. Брестская до дома № 17 по ул. Ленина</t>
  </si>
  <si>
    <t xml:space="preserve">Капитальный ремонт автомобильной дороги по ул. Брестская </t>
  </si>
  <si>
    <t>Капитальный ремонт автомобильной дороги по ул. 1-ая Посадская на участке от ул. Комсомольская до моста Тургеневский через р. Орлик ул. Тургенева</t>
  </si>
  <si>
    <t>Капитальный ремонт автомобильной дороги по ул. Максима Горького на участке от ул. Брестская до ул. 7 Ноября</t>
  </si>
  <si>
    <t xml:space="preserve">Капитальный ремонт автомобильной дороги по ул. Тургенева на участке от ул. Салтыкова-Щедрина до моста Тургеневский через р. Орлик </t>
  </si>
  <si>
    <t>Капитальный ремонт автомобильной дороги по ул.Игнатова-ул.Приборостроительная от разворотного кольца до ул.Октябрьская</t>
  </si>
  <si>
    <t>Средства Дорожного фонда Орловской области, тыс. руб.</t>
  </si>
  <si>
    <t>Капитальный ремонт автомобильных дорог города Орла на улицах частной жилой застройки: ул. Ново-Лужковская</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</si>
  <si>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</si>
  <si>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</si>
  <si>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</si>
  <si>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</si>
  <si>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</si>
  <si>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</si>
  <si>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</si>
  <si>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</si>
  <si>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</si>
  <si>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</si>
  <si>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</si>
  <si>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</si>
  <si>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</si>
  <si>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</si>
  <si>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</si>
  <si>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</si>
  <si>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</si>
  <si>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</si>
  <si>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</si>
  <si>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</si>
  <si>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</si>
  <si>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</si>
  <si>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</si>
  <si>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</si>
  <si>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</si>
  <si>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</si>
  <si>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</si>
  <si>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</si>
  <si>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</si>
  <si>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</si>
  <si>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</si>
  <si>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</si>
  <si>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</si>
  <si>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</si>
  <si>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</si>
  <si>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</si>
  <si>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</si>
  <si>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</si>
  <si>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</si>
  <si>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</si>
  <si>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</si>
  <si>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</si>
  <si>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</si>
  <si>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</si>
  <si>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</si>
  <si>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</si>
  <si>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</si>
  <si>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</si>
  <si>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</si>
  <si>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</si>
  <si>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</si>
  <si>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</si>
  <si>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</si>
  <si>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</si>
  <si>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</si>
  <si>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</si>
  <si>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</si>
  <si>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</si>
  <si>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</si>
  <si>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</si>
  <si>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</si>
  <si>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</si>
  <si>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</si>
  <si>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</si>
  <si>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</si>
  <si>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Капитальный ремонт автомобильных дорог города Орла на улицах частной жилой застройки: ул. Станционная</t>
  </si>
  <si>
    <t>ул. Полесская от ул. Максима Горького до ул. Генерала Родина (2 этап)</t>
  </si>
  <si>
    <t>3.8.</t>
  </si>
  <si>
    <t>Восстановление верхних слоев дорожной одежды -                          не  менее 71 000 кв.м ежегодно; приобретение дорожной техники -                                           52 ед. (приложение 4)</t>
  </si>
  <si>
    <t xml:space="preserve">Площадь отремонтированных объектов УДС города Орла </t>
  </si>
  <si>
    <t xml:space="preserve">Площадь отремонтированных объектов УДС города Орла -                                               </t>
  </si>
  <si>
    <t>Ремонт ул. Советская от наб. Дубровинского до ул. Герцена</t>
  </si>
  <si>
    <t>Ремонт ул.Пролетарская Гора от ул.Салтыкова-Щедрина до ул. Максима Горького, от дома №5 до ул.Ленина (1 этап)</t>
  </si>
  <si>
    <t>Ремонт ул.Пролетарская Гора от ул.Салтыкова-Щедрина до ул. Максима Горького, от дома №5 до ул.Ленина (2 этап)</t>
  </si>
  <si>
    <t>Ремонт ул.Покровская от ул.Московская до ул.Советская</t>
  </si>
  <si>
    <t xml:space="preserve">Капитальный ремонт улично-дорожной сети города Орла по ул.Салтыкова-Щедрина с территорией прилегающих улиц (ул. 7 Ноября от д.№8 до д.№9 по ул. Салтыкова-Щедрина, ул. Тургенева от ул. Салтыкова-Щедрина ло ул. Октябрьская, ул. Брестская от ул. Максима Горького до ул. Салтыкова-Щедрина, ул. Полесская от ул. Салтыкова-Щедрина до ул. Октябрьская, ул. Гуртьева от д. №2 до ул. Максима Горького, ул. Красноармейская от д.№4 до д.№6) </t>
  </si>
  <si>
    <t xml:space="preserve">Кромское шоссе на участке от пересечения с ул. Высоковольтная до границ города Орла </t>
  </si>
  <si>
    <t>ул. Игнатова от ул. Октябрьская до ул. Цветаева, ул. Цветаева от ул. Игнатова до ул. Приборостроительной, ул. Приборостроительная от ул. Цветаева до ул. Героев Пожарных, ул. Героев Пожарных от ул. Приборостроительной до Наугорского шоссе</t>
  </si>
  <si>
    <t>ул. Цветаева от ул. Полесская до Наугорского шоссе</t>
  </si>
  <si>
    <t>ул. Комсомольская от ул. Гостиная до ул. Красина</t>
  </si>
  <si>
    <t>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t>
  </si>
  <si>
    <t>Ремонт ул. Советская (восстановление бортовых камней)</t>
  </si>
  <si>
    <t>3.9.</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</si>
  <si>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</si>
  <si>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</si>
  <si>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</si>
  <si>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</si>
  <si>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</si>
  <si>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</si>
  <si>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</si>
  <si>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</si>
  <si>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</si>
  <si>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</si>
  <si>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</si>
  <si>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</si>
  <si>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</si>
  <si>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</si>
  <si>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</si>
  <si>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</si>
  <si>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</si>
  <si>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</si>
  <si>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</si>
  <si>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</si>
  <si>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</si>
  <si>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</si>
  <si>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</si>
  <si>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</si>
  <si>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</si>
  <si>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</si>
  <si>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</si>
  <si>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</si>
  <si>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</si>
  <si>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</si>
  <si>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</si>
  <si>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</si>
  <si>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</si>
  <si>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</si>
  <si>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</si>
  <si>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</si>
  <si>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</si>
  <si>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</si>
  <si>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</si>
  <si>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</si>
  <si>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</si>
  <si>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</si>
  <si>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</si>
  <si>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</si>
  <si>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</si>
  <si>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</si>
  <si>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</si>
  <si>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</si>
  <si>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</si>
  <si>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</si>
  <si>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</si>
  <si>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</si>
  <si>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</si>
  <si>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</si>
  <si>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</si>
  <si>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</si>
  <si>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</si>
  <si>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</si>
  <si>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</si>
  <si>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</si>
  <si>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</si>
  <si>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 xml:space="preserve">Капитальный ремонт автомобильной дороги ул. Русанова на участке от пересечения с наб. Дубровинского до пересечения с ул. 1-я Курская </t>
  </si>
  <si>
    <t xml:space="preserve">Капитальный ремонт автомобильной дороги ул. Колхозная </t>
  </si>
  <si>
    <t>7.63</t>
  </si>
  <si>
    <t>Ремонт ул. Васильевская</t>
  </si>
  <si>
    <t xml:space="preserve">Капитальный ремонт автомобильной дороги ул. Тамбовская </t>
  </si>
  <si>
    <t xml:space="preserve">Капитальный ремонт автомобильной дороги ул. Солнцевская </t>
  </si>
  <si>
    <t xml:space="preserve">Капитальный ремонт автомобильной дороги ул. Пархоменко </t>
  </si>
  <si>
    <t xml:space="preserve">Капитальный ремонт улично-дорожной сети города Орла по ул.Салтыкова-Щедрина с территорией прилегающих улиц (ул. 7 Ноября от д.№8 до д.№9 по ул. Салтыкова-Щедрина, ул. Тургенева от ул. Салтыкова-Щедрина ло ул. Октябрьская,  ул. Гуртьева от д. №2 до ул. Максима Горького, ул. Красноармейская от д.№4 до д.№6 (корректировка) </t>
  </si>
  <si>
    <t xml:space="preserve">ул. Полесская от ул. Максима Горького до ул. Генерала Родина </t>
  </si>
  <si>
    <t>капитальный ремонт ул. Энгельса (2 этап);</t>
  </si>
  <si>
    <t>капитальный ремонт ул. 1-ая Пушкарная;</t>
  </si>
  <si>
    <t>ремонт ул. 3-я Курская;</t>
  </si>
  <si>
    <t>ремонт пер. Новосильский</t>
  </si>
  <si>
    <t>капитальный ремонт ул. Комсомольская от Гостиной до Красина (корректировка)</t>
  </si>
  <si>
    <t>Капитальный ремонт автомобильных дорог города Орла на улицах частной жилой застройки: ул.Лужковская от ул. Поселковая до ул. Афонина</t>
  </si>
  <si>
    <t xml:space="preserve">Капитальный ремонт автомобильных дорог города Орла на улицах частной жилой застройки: ул.Уральская </t>
  </si>
  <si>
    <t>Капитальный ремонт автомобильных дорог города Орла на улицах частной жилой застройки: ул. Смоленская</t>
  </si>
  <si>
    <t>Капитальный ремонт автомобильных дорог города Орла на улицах частной жилой застройки: пер.Южный от ул. Тульской до ул. Ольховецкой</t>
  </si>
  <si>
    <t>Начальник  управления строительства, дорожного хозяйства и благоустройства</t>
  </si>
  <si>
    <t xml:space="preserve">Начальник управления строительства, дорожного хозяйства и благоустройства администрации города Орла </t>
  </si>
  <si>
    <t>Начальник  управления строительства,</t>
  </si>
  <si>
    <t>от 31 июля 2024 №3644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</si>
</sst>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00_ ;\-#,##0.00000\ "/>
    <numFmt numFmtId="166" formatCode="#,##0.0000"/>
    <numFmt numFmtId="167" formatCode="0.0000"/>
    <numFmt numFmtId="168" formatCode="0.00000"/>
    <numFmt numFmtId="169" formatCode="#,##0.000000"/>
    <numFmt numFmtId="170" formatCode="#,##0.000"/>
    <numFmt numFmtId="171" formatCode="#,##0.0000000"/>
    <numFmt numFmtId="172" formatCode="0.0%"/>
    <numFmt numFmtId="173" formatCode="0.0000%"/>
    <numFmt numFmtId="174" formatCode="#,##0.0"/>
  </numFmts>
  <fonts count="8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9"/>
      <color indexed="81"/>
      <name val="Tahoma"/>
      <family val="2"/>
      <charset val="204"/>
    </font>
    <font>
      <b/>
      <sz val="9"/>
      <color indexed="81"/>
      <name val="Tahoma"/>
      <family val="2"/>
      <charset val="204"/>
    </font>
    <font>
      <sz val="13"/>
      <color theme="1"/>
      <name val="Times New Roman"/>
      <family val="1"/>
      <charset val="204"/>
    </font>
    <font>
      <b/>
      <sz val="13"/>
      <color theme="1"/>
      <name val="Times New Roman"/>
      <family val="1"/>
      <charset val="204"/>
    </font>
    <font>
      <b/>
      <i/>
      <sz val="13"/>
      <color theme="1"/>
      <name val="Times New Roman"/>
      <family val="1"/>
      <charset val="204"/>
    </font>
    <font>
      <sz val="12"/>
      <color theme="1"/>
      <name val="Times New Roman"/>
      <family val="1"/>
      <charset val="204"/>
    </font>
    <font>
      <b/>
      <sz val="12"/>
      <color theme="1"/>
      <name val="Times New Roman"/>
      <family val="1"/>
      <charset val="204"/>
    </font>
    <font>
      <sz val="12"/>
      <name val="Times New Roman"/>
      <family val="1"/>
      <charset val="204"/>
    </font>
    <font>
      <sz val="13"/>
      <name val="Times New Roman"/>
      <family val="1"/>
      <charset val="204"/>
    </font>
    <font>
      <sz val="11"/>
      <color theme="1"/>
      <name val="Times New Roman"/>
      <family val="1"/>
      <charset val="204"/>
    </font>
    <font>
      <sz val="14"/>
      <color theme="1"/>
      <name val="Times New Roman"/>
      <family val="1"/>
      <charset val="204"/>
    </font>
    <font>
      <sz val="14"/>
      <color theme="1"/>
      <name val="Calibri"/>
      <family val="2"/>
      <charset val="204"/>
      <scheme val="minor"/>
    </font>
    <font>
      <b/>
      <sz val="11"/>
      <color theme="1"/>
      <name val="Times New Roman"/>
      <family val="1"/>
      <charset val="204"/>
    </font>
    <font>
      <b/>
      <i/>
      <sz val="12"/>
      <color theme="1"/>
      <name val="Times New Roman"/>
      <family val="1"/>
      <charset val="204"/>
    </font>
    <font>
      <b/>
      <sz val="16"/>
      <color theme="1"/>
      <name val="Times New Roman"/>
      <family val="1"/>
      <charset val="204"/>
    </font>
    <font>
      <b/>
      <sz val="16"/>
      <color theme="1"/>
      <name val="Calibri"/>
      <family val="2"/>
      <scheme val="minor"/>
    </font>
    <font>
      <b/>
      <sz val="12"/>
      <name val="Times New Roman"/>
      <family val="1"/>
      <charset val="204"/>
    </font>
    <font>
      <sz val="13"/>
      <color theme="1"/>
      <name val="Calibri"/>
      <family val="2"/>
      <scheme val="minor"/>
    </font>
    <font>
      <b/>
      <sz val="13"/>
      <color theme="1"/>
      <name val="Calibri"/>
      <family val="2"/>
      <scheme val="minor"/>
    </font>
    <font>
      <b/>
      <sz val="14"/>
      <color theme="1"/>
      <name val="Times New Roman"/>
      <family val="1"/>
      <charset val="204"/>
    </font>
    <font>
      <sz val="12"/>
      <color rgb="FFFF0000"/>
      <name val="Times New Roman"/>
      <family val="1"/>
      <charset val="204"/>
    </font>
    <font>
      <sz val="13"/>
      <color rgb="FFFF0000"/>
      <name val="Times New Roman"/>
      <family val="1"/>
      <charset val="204"/>
    </font>
    <font>
      <b/>
      <sz val="11"/>
      <color theme="1"/>
      <name val="Calibri"/>
      <family val="2"/>
      <charset val="204"/>
      <scheme val="minor"/>
    </font>
    <font>
      <i/>
      <sz val="11"/>
      <color theme="1"/>
      <name val="Times New Roman"/>
      <family val="1"/>
      <charset val="204"/>
    </font>
    <font>
      <i/>
      <sz val="12"/>
      <color theme="1"/>
      <name val="Times New Roman"/>
      <family val="1"/>
      <charset val="204"/>
    </font>
    <font>
      <i/>
      <sz val="12"/>
      <name val="Times New Roman"/>
      <family val="1"/>
      <charset val="204"/>
    </font>
    <font>
      <i/>
      <sz val="11"/>
      <color theme="1"/>
      <name val="Calibri"/>
      <family val="2"/>
      <scheme val="minor"/>
    </font>
    <font>
      <i/>
      <sz val="11"/>
      <color theme="1"/>
      <name val="Calibri"/>
      <family val="2"/>
      <charset val="204"/>
      <scheme val="minor"/>
    </font>
    <font>
      <sz val="12"/>
      <color theme="1"/>
      <name val="Calibri"/>
      <family val="2"/>
      <scheme val="minor"/>
    </font>
    <font>
      <i/>
      <sz val="12"/>
      <color theme="1"/>
      <name val="Calibri"/>
      <family val="2"/>
      <scheme val="minor"/>
    </font>
    <font>
      <sz val="12"/>
      <color theme="1"/>
      <name val="Calibri"/>
      <family val="2"/>
      <charset val="204"/>
      <scheme val="minor"/>
    </font>
    <font>
      <sz val="13"/>
      <color rgb="FF002060"/>
      <name val="Times New Roman"/>
      <family val="1"/>
      <charset val="204"/>
    </font>
    <font>
      <sz val="12"/>
      <color rgb="FF002060"/>
      <name val="Times New Roman"/>
      <family val="1"/>
      <charset val="204"/>
    </font>
    <font>
      <b/>
      <sz val="12"/>
      <color rgb="FF0070C0"/>
      <name val="Times New Roman"/>
      <family val="1"/>
      <charset val="204"/>
    </font>
    <font>
      <sz val="12"/>
      <color rgb="FFFF0000"/>
      <name val="Calibri"/>
      <family val="2"/>
      <scheme val="minor"/>
    </font>
    <font>
      <sz val="11"/>
      <color rgb="FFFF0000"/>
      <name val="Calibri"/>
      <family val="2"/>
      <scheme val="minor"/>
    </font>
    <font>
      <sz val="16"/>
      <color theme="1"/>
      <name val="Times New Roman"/>
      <family val="1"/>
      <charset val="204"/>
    </font>
    <font>
      <sz val="16"/>
      <color theme="1"/>
      <name val="Calibri"/>
      <family val="2"/>
      <charset val="204"/>
      <scheme val="minor"/>
    </font>
    <font>
      <sz val="16"/>
      <color theme="1"/>
      <name val="Calibri"/>
      <family val="2"/>
      <scheme val="minor"/>
    </font>
    <font>
      <sz val="12"/>
      <color theme="9" tint="-0.499984740745262"/>
      <name val="Times New Roman"/>
      <family val="1"/>
      <charset val="204"/>
    </font>
    <font>
      <sz val="12"/>
      <color theme="9" tint="-0.499984740745262"/>
      <name val="Calibri"/>
      <family val="2"/>
      <scheme val="minor"/>
    </font>
    <font>
      <sz val="11"/>
      <color theme="9" tint="-0.499984740745262"/>
      <name val="Calibri"/>
      <family val="2"/>
      <scheme val="minor"/>
    </font>
    <font>
      <sz val="11"/>
      <color rgb="FF7030A0"/>
      <name val="Calibri"/>
      <family val="2"/>
      <scheme val="minor"/>
    </font>
    <font>
      <sz val="13"/>
      <color theme="3"/>
      <name val="Times New Roman"/>
      <family val="1"/>
      <charset val="204"/>
    </font>
    <font>
      <b/>
      <sz val="11"/>
      <color theme="1"/>
      <name val="Calibri"/>
      <family val="2"/>
      <scheme val="minor"/>
    </font>
    <font>
      <i/>
      <sz val="12"/>
      <color rgb="FFFF0000"/>
      <name val="Calibri"/>
      <family val="2"/>
      <scheme val="minor"/>
    </font>
    <font>
      <i/>
      <sz val="11"/>
      <color rgb="FFFF0000"/>
      <name val="Calibri"/>
      <family val="2"/>
      <scheme val="minor"/>
    </font>
    <font>
      <sz val="12"/>
      <color theme="3" tint="-0.249977111117893"/>
      <name val="Times New Roman"/>
      <family val="1"/>
      <charset val="204"/>
    </font>
    <font>
      <sz val="12"/>
      <color theme="3" tint="-0.249977111117893"/>
      <name val="Calibri"/>
      <family val="2"/>
      <scheme val="minor"/>
    </font>
    <font>
      <sz val="11"/>
      <color theme="3" tint="-0.249977111117893"/>
      <name val="Calibri"/>
      <family val="2"/>
      <scheme val="minor"/>
    </font>
    <font>
      <b/>
      <sz val="11"/>
      <color rgb="FFFF0000"/>
      <name val="Calibri"/>
      <family val="2"/>
      <charset val="204"/>
      <scheme val="minor"/>
    </font>
    <font>
      <b/>
      <sz val="11"/>
      <color rgb="FF002060"/>
      <name val="Calibri"/>
      <family val="2"/>
      <charset val="204"/>
      <scheme val="minor"/>
    </font>
    <font>
      <sz val="13"/>
      <color theme="7" tint="-0.499984740745262"/>
      <name val="Times New Roman"/>
      <family val="1"/>
      <charset val="204"/>
    </font>
    <font>
      <sz val="13"/>
      <color theme="6" tint="-0.499984740745262"/>
      <name val="Times New Roman"/>
      <family val="1"/>
      <charset val="204"/>
    </font>
    <font>
      <sz val="12"/>
      <color theme="6" tint="-0.499984740745262"/>
      <name val="Times New Roman"/>
      <family val="1"/>
      <charset val="204"/>
    </font>
    <font>
      <sz val="13"/>
      <color theme="5" tint="-0.499984740745262"/>
      <name val="Times New Roman"/>
      <family val="1"/>
      <charset val="204"/>
    </font>
    <font>
      <sz val="12"/>
      <color theme="5" tint="-0.499984740745262"/>
      <name val="Times New Roman"/>
      <family val="1"/>
      <charset val="204"/>
    </font>
    <font>
      <sz val="12"/>
      <color theme="5" tint="-0.499984740745262"/>
      <name val="Calibri"/>
      <family val="2"/>
      <scheme val="minor"/>
    </font>
    <font>
      <sz val="11"/>
      <color theme="5" tint="-0.499984740745262"/>
      <name val="Calibri"/>
      <family val="2"/>
      <scheme val="minor"/>
    </font>
    <font>
      <i/>
      <sz val="12"/>
      <color rgb="FFFF0000"/>
      <name val="Times New Roman"/>
      <family val="1"/>
      <charset val="204"/>
    </font>
    <font>
      <b/>
      <sz val="12"/>
      <color theme="1"/>
      <name val="Calibri"/>
      <family val="2"/>
      <scheme val="minor"/>
    </font>
    <font>
      <i/>
      <sz val="11"/>
      <color rgb="FFFF0000"/>
      <name val="Times New Roman"/>
      <family val="1"/>
      <charset val="204"/>
    </font>
    <font>
      <b/>
      <sz val="12"/>
      <color theme="1"/>
      <name val="Calibri"/>
      <family val="2"/>
      <charset val="204"/>
      <scheme val="minor"/>
    </font>
    <font>
      <b/>
      <i/>
      <sz val="11"/>
      <color theme="1"/>
      <name val="Calibri"/>
      <family val="2"/>
      <charset val="204"/>
      <scheme val="minor"/>
    </font>
    <font>
      <sz val="12"/>
      <color rgb="FFFF0000"/>
      <name val="Calibri"/>
      <family val="2"/>
      <charset val="204"/>
      <scheme val="minor"/>
    </font>
    <font>
      <i/>
      <sz val="12"/>
      <color theme="1"/>
      <name val="Calibri"/>
      <family val="2"/>
      <charset val="204"/>
      <scheme val="minor"/>
    </font>
    <font>
      <sz val="10"/>
      <name val="Arial"/>
      <family val="2"/>
      <charset val="204"/>
    </font>
    <font>
      <sz val="14"/>
      <color rgb="FFFF0000"/>
      <name val="Times New Roman"/>
      <family val="1"/>
      <charset val="204"/>
    </font>
    <font>
      <b/>
      <sz val="12"/>
      <color indexed="81"/>
      <name val="Tahoma"/>
      <family val="2"/>
      <charset val="204"/>
    </font>
    <font>
      <sz val="12"/>
      <color indexed="81"/>
      <name val="Tahoma"/>
      <family val="2"/>
      <charset val="204"/>
    </font>
    <font>
      <b/>
      <sz val="11"/>
      <color indexed="81"/>
      <name val="Tahoma"/>
      <family val="2"/>
      <charset val="204"/>
    </font>
    <font>
      <sz val="11"/>
      <color indexed="81"/>
      <name val="Tahoma"/>
      <family val="2"/>
      <charset val="204"/>
    </font>
    <font>
      <b/>
      <sz val="14"/>
      <color theme="1"/>
      <name val="Calibri"/>
      <family val="2"/>
      <charset val="204"/>
      <scheme val="minor"/>
    </font>
    <font>
      <sz val="8"/>
      <name val="Calibri"/>
      <family val="2"/>
      <scheme val="minor"/>
    </font>
    <font>
      <sz val="12"/>
      <name val="Calibri"/>
      <family val="2"/>
      <scheme val="minor"/>
    </font>
    <font>
      <sz val="13"/>
      <color rgb="FFC00000"/>
      <name val="Times New Roman"/>
      <family val="1"/>
      <charset val="204"/>
    </font>
  </fonts>
  <fills count="10">
    <fill>
      <patternFill patternType="none"/>
    </fill>
    <fill>
      <patternFill patternType="gray125"/>
    </fill>
    <fill>
      <patternFill patternType="solid">
        <fgColor rgb="FF92D050"/>
        <bgColor indexed="64"/>
      </patternFill>
    </fill>
    <fill>
      <patternFill patternType="solid">
        <fgColor rgb="FF99FF99"/>
        <bgColor indexed="64"/>
      </patternFill>
    </fill>
    <fill>
      <patternFill patternType="solid">
        <fgColor rgb="FFFFFF00"/>
        <bgColor indexed="64"/>
      </patternFill>
    </fill>
    <fill>
      <patternFill patternType="solid">
        <fgColor rgb="FFFFC000"/>
        <bgColor indexed="64"/>
      </patternFill>
    </fill>
    <fill>
      <patternFill patternType="solid">
        <fgColor theme="0"/>
        <bgColor indexed="64"/>
      </patternFill>
    </fill>
    <fill>
      <patternFill patternType="solid">
        <fgColor rgb="FFFFFF99"/>
        <bgColor indexed="64"/>
      </patternFill>
    </fill>
    <fill>
      <patternFill patternType="solid">
        <fgColor theme="8" tint="0.39997558519241921"/>
        <bgColor indexed="64"/>
      </patternFill>
    </fill>
    <fill>
      <patternFill patternType="solid">
        <fgColor rgb="FFFF0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hair">
        <color auto="1"/>
      </top>
      <bottom style="hair">
        <color auto="1"/>
      </bottom>
      <diagonal/>
    </border>
    <border>
      <left style="hair">
        <color auto="1"/>
      </left>
      <right style="hair">
        <color auto="1"/>
      </right>
      <top style="hair">
        <color auto="1"/>
      </top>
      <bottom style="hair">
        <color auto="1"/>
      </bottom>
      <diagonal/>
    </border>
  </borders>
  <cellStyleXfs count="2">
    <xf numFmtId="0" fontId="0" fillId="0" borderId="0"/>
    <xf numFmtId="0" fontId="74" fillId="0" borderId="0"/>
  </cellStyleXfs>
  <cellXfs count="829">
    <xf numFmtId="0" fontId="0" fillId="0" borderId="0" xfId="0"/>
    <xf numFmtId="0" fontId="13" fillId="0" borderId="0" xfId="0" applyFont="1" applyAlignment="1">
      <alignment vertical="center"/>
    </xf>
    <xf numFmtId="0" fontId="18" fillId="0" borderId="0" xfId="0" applyFont="1"/>
    <xf numFmtId="0" fontId="13" fillId="0" borderId="0" xfId="0" applyFont="1" applyAlignment="1">
      <alignment horizontal="center" vertical="center"/>
    </xf>
    <xf numFmtId="0" fontId="13" fillId="0" borderId="0" xfId="0" applyFont="1"/>
    <xf numFmtId="0" fontId="13" fillId="0" borderId="0" xfId="0" applyFont="1" applyAlignment="1">
      <alignment horizontal="left" vertical="center" indent="15"/>
    </xf>
    <xf numFmtId="0" fontId="13" fillId="0" borderId="1" xfId="0" applyFont="1" applyBorder="1" applyAlignment="1">
      <alignment wrapText="1"/>
    </xf>
    <xf numFmtId="0" fontId="13" fillId="0" borderId="1" xfId="0" applyFont="1" applyBorder="1" applyAlignment="1">
      <alignment horizontal="center" vertical="center"/>
    </xf>
    <xf numFmtId="0" fontId="13" fillId="0" borderId="0" xfId="0" applyFont="1" applyAlignment="1">
      <alignment horizontal="center"/>
    </xf>
    <xf numFmtId="0" fontId="19" fillId="0" borderId="0" xfId="0" applyFont="1"/>
    <xf numFmtId="0" fontId="13" fillId="0" borderId="16" xfId="0" applyFont="1" applyBorder="1" applyAlignment="1">
      <alignment horizontal="center" vertical="center" wrapText="1"/>
    </xf>
    <xf numFmtId="3" fontId="13" fillId="0" borderId="27" xfId="0" applyNumberFormat="1" applyFont="1" applyBorder="1" applyAlignment="1">
      <alignment horizontal="center" vertical="center"/>
    </xf>
    <xf numFmtId="0" fontId="13" fillId="0" borderId="27" xfId="0" applyFont="1" applyBorder="1" applyAlignment="1">
      <alignment horizontal="center" vertical="center"/>
    </xf>
    <xf numFmtId="0" fontId="13" fillId="0" borderId="32" xfId="0" applyFont="1" applyBorder="1" applyAlignment="1">
      <alignment horizontal="center" vertical="center" wrapText="1"/>
    </xf>
    <xf numFmtId="0" fontId="13" fillId="0" borderId="22" xfId="0" applyFont="1" applyBorder="1" applyAlignment="1">
      <alignment wrapText="1"/>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0" fillId="0" borderId="0" xfId="0" applyAlignment="1">
      <alignment vertical="center"/>
    </xf>
    <xf numFmtId="0" fontId="13" fillId="0" borderId="1" xfId="0" applyFont="1" applyBorder="1" applyAlignment="1">
      <alignment vertical="center" wrapText="1"/>
    </xf>
    <xf numFmtId="0" fontId="28" fillId="0" borderId="1" xfId="0" applyFont="1" applyBorder="1" applyAlignment="1">
      <alignment horizontal="center" vertical="center"/>
    </xf>
    <xf numFmtId="10" fontId="28" fillId="2" borderId="27" xfId="0" applyNumberFormat="1" applyFont="1" applyFill="1" applyBorder="1" applyAlignment="1">
      <alignment horizontal="center" vertical="center"/>
    </xf>
    <xf numFmtId="0" fontId="18" fillId="0" borderId="1" xfId="0" applyFont="1" applyBorder="1" applyAlignment="1">
      <alignment horizontal="center" vertical="center"/>
    </xf>
    <xf numFmtId="164" fontId="13" fillId="0" borderId="1" xfId="0" applyNumberFormat="1" applyFont="1" applyBorder="1" applyAlignment="1">
      <alignment vertical="center"/>
    </xf>
    <xf numFmtId="166" fontId="13" fillId="0" borderId="1" xfId="0" applyNumberFormat="1" applyFont="1" applyBorder="1" applyAlignment="1">
      <alignment vertical="center"/>
    </xf>
    <xf numFmtId="0" fontId="13" fillId="0" borderId="1" xfId="0" applyFont="1" applyBorder="1" applyAlignment="1">
      <alignment vertical="center"/>
    </xf>
    <xf numFmtId="166" fontId="13" fillId="0" borderId="0" xfId="0" applyNumberFormat="1" applyFont="1" applyAlignment="1">
      <alignment vertical="center"/>
    </xf>
    <xf numFmtId="0" fontId="14" fillId="0" borderId="1" xfId="0" applyFont="1" applyBorder="1" applyAlignment="1">
      <alignment horizontal="center" vertical="center"/>
    </xf>
    <xf numFmtId="0" fontId="41" fillId="0" borderId="1" xfId="0" applyFont="1" applyBorder="1" applyAlignment="1">
      <alignment vertical="center" wrapText="1"/>
    </xf>
    <xf numFmtId="166" fontId="41" fillId="0" borderId="1" xfId="0" applyNumberFormat="1" applyFont="1" applyBorder="1" applyAlignment="1">
      <alignment vertical="center"/>
    </xf>
    <xf numFmtId="166" fontId="41" fillId="0" borderId="0" xfId="0" applyNumberFormat="1" applyFont="1" applyAlignment="1">
      <alignment vertical="center"/>
    </xf>
    <xf numFmtId="0" fontId="41" fillId="0" borderId="0" xfId="0" applyFont="1" applyAlignment="1">
      <alignment vertical="center"/>
    </xf>
    <xf numFmtId="0" fontId="14" fillId="0" borderId="46" xfId="0" applyFont="1" applyBorder="1" applyAlignment="1">
      <alignment vertical="center" wrapText="1"/>
    </xf>
    <xf numFmtId="0" fontId="13" fillId="0" borderId="8" xfId="0" applyFont="1" applyBorder="1" applyAlignment="1">
      <alignment vertical="center" wrapText="1"/>
    </xf>
    <xf numFmtId="0" fontId="13" fillId="0" borderId="9" xfId="0" applyFont="1" applyBorder="1" applyAlignment="1">
      <alignment vertical="center" wrapText="1"/>
    </xf>
    <xf numFmtId="164" fontId="13" fillId="0" borderId="0" xfId="0" applyNumberFormat="1" applyFont="1" applyAlignment="1">
      <alignment vertical="center"/>
    </xf>
    <xf numFmtId="166" fontId="13" fillId="0" borderId="5" xfId="0" applyNumberFormat="1" applyFont="1" applyBorder="1" applyAlignment="1">
      <alignment vertical="center"/>
    </xf>
    <xf numFmtId="0" fontId="27" fillId="0" borderId="0" xfId="0" applyFont="1" applyAlignment="1">
      <alignment vertical="center" wrapText="1"/>
    </xf>
    <xf numFmtId="0" fontId="0" fillId="0" borderId="0" xfId="0" applyAlignment="1">
      <alignment vertical="center" wrapText="1"/>
    </xf>
    <xf numFmtId="0" fontId="14" fillId="0" borderId="1" xfId="0" applyFont="1" applyBorder="1" applyAlignment="1">
      <alignment horizontal="center" vertical="center" wrapText="1"/>
    </xf>
    <xf numFmtId="166" fontId="13" fillId="0" borderId="2" xfId="0" applyNumberFormat="1" applyFont="1" applyBorder="1" applyAlignment="1">
      <alignment vertical="center"/>
    </xf>
    <xf numFmtId="0" fontId="20" fillId="0" borderId="44" xfId="0" applyFont="1" applyBorder="1" applyAlignment="1">
      <alignment vertical="center" wrapText="1"/>
    </xf>
    <xf numFmtId="0" fontId="13" fillId="0" borderId="2" xfId="0" applyFont="1" applyBorder="1" applyAlignment="1">
      <alignment vertical="center" wrapText="1"/>
    </xf>
    <xf numFmtId="0" fontId="20" fillId="0" borderId="4" xfId="0" applyFont="1" applyBorder="1" applyAlignment="1">
      <alignment vertical="center" wrapText="1"/>
    </xf>
    <xf numFmtId="166" fontId="13" fillId="0" borderId="13" xfId="0" applyNumberFormat="1" applyFont="1" applyBorder="1" applyAlignment="1">
      <alignment vertical="center"/>
    </xf>
    <xf numFmtId="0" fontId="13" fillId="0" borderId="45" xfId="0" applyFont="1" applyBorder="1" applyAlignment="1">
      <alignment vertical="center" wrapText="1"/>
    </xf>
    <xf numFmtId="164" fontId="13" fillId="0" borderId="3" xfId="0" applyNumberFormat="1" applyFont="1" applyBorder="1" applyAlignment="1">
      <alignment vertical="center"/>
    </xf>
    <xf numFmtId="0" fontId="44" fillId="0" borderId="0" xfId="0" applyFont="1"/>
    <xf numFmtId="0" fontId="45" fillId="0" borderId="0" xfId="0" applyFont="1"/>
    <xf numFmtId="0" fontId="41" fillId="0" borderId="0" xfId="0" applyFont="1" applyAlignment="1">
      <alignment horizontal="center" vertical="center"/>
    </xf>
    <xf numFmtId="4" fontId="13" fillId="0" borderId="0" xfId="0" applyNumberFormat="1" applyFont="1" applyAlignment="1">
      <alignment horizontal="center" vertical="center"/>
    </xf>
    <xf numFmtId="0" fontId="13" fillId="0" borderId="0" xfId="0" applyFont="1" applyAlignment="1">
      <alignment horizontal="left" vertical="center"/>
    </xf>
    <xf numFmtId="0" fontId="13" fillId="4" borderId="0" xfId="0" applyFont="1" applyFill="1" applyAlignment="1">
      <alignment vertical="center"/>
    </xf>
    <xf numFmtId="0" fontId="13" fillId="4" borderId="45" xfId="0" applyFont="1" applyFill="1" applyBorder="1" applyAlignment="1">
      <alignment vertical="center" wrapText="1"/>
    </xf>
    <xf numFmtId="0" fontId="13" fillId="4" borderId="0" xfId="0" applyFont="1" applyFill="1" applyAlignment="1">
      <alignment horizontal="center" vertical="center"/>
    </xf>
    <xf numFmtId="0" fontId="13" fillId="5" borderId="0" xfId="0" applyFont="1" applyFill="1" applyAlignment="1">
      <alignment vertical="center"/>
    </xf>
    <xf numFmtId="164" fontId="41" fillId="0" borderId="1" xfId="0" applyNumberFormat="1" applyFont="1" applyBorder="1" applyAlignment="1">
      <alignment vertical="center"/>
    </xf>
    <xf numFmtId="164" fontId="13" fillId="5" borderId="0" xfId="0" applyNumberFormat="1" applyFont="1" applyFill="1" applyAlignment="1">
      <alignment vertical="center"/>
    </xf>
    <xf numFmtId="164" fontId="18" fillId="0" borderId="1" xfId="0" applyNumberFormat="1" applyFont="1" applyBorder="1" applyAlignment="1">
      <alignment horizontal="center" vertical="center"/>
    </xf>
    <xf numFmtId="3" fontId="13" fillId="0" borderId="0" xfId="0" applyNumberFormat="1" applyFont="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0" fillId="0" borderId="1" xfId="0" applyBorder="1" applyAlignment="1">
      <alignment horizontal="left" vertical="center" wrapText="1"/>
    </xf>
    <xf numFmtId="172" fontId="0" fillId="0" borderId="1" xfId="0" applyNumberFormat="1" applyBorder="1" applyAlignment="1">
      <alignment horizontal="center" vertical="center" wrapText="1"/>
    </xf>
    <xf numFmtId="3" fontId="18" fillId="0" borderId="1" xfId="0" applyNumberFormat="1" applyFont="1" applyBorder="1" applyAlignment="1">
      <alignment horizontal="center" vertical="center"/>
    </xf>
    <xf numFmtId="4" fontId="0" fillId="0" borderId="0" xfId="0" applyNumberFormat="1" applyAlignment="1">
      <alignment horizontal="center" vertical="center" wrapText="1"/>
    </xf>
    <xf numFmtId="166" fontId="0" fillId="0" borderId="0" xfId="0" applyNumberFormat="1" applyAlignment="1">
      <alignment horizontal="center" vertical="center" wrapText="1"/>
    </xf>
    <xf numFmtId="10" fontId="0" fillId="0" borderId="0" xfId="0" applyNumberFormat="1" applyAlignment="1">
      <alignment horizontal="center" vertical="center" wrapText="1"/>
    </xf>
    <xf numFmtId="173" fontId="0" fillId="0" borderId="0" xfId="0" applyNumberFormat="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4"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172" fontId="17" fillId="0" borderId="1" xfId="0" applyNumberFormat="1" applyFont="1" applyBorder="1" applyAlignment="1">
      <alignment horizontal="center" vertical="center" wrapText="1"/>
    </xf>
    <xf numFmtId="0" fontId="30" fillId="0" borderId="0" xfId="0" applyFont="1" applyAlignment="1">
      <alignment horizontal="left" vertical="center"/>
    </xf>
    <xf numFmtId="0" fontId="0" fillId="3" borderId="0" xfId="0" applyFill="1" applyAlignment="1">
      <alignment horizontal="center" vertical="center" wrapText="1"/>
    </xf>
    <xf numFmtId="0" fontId="0" fillId="3" borderId="1" xfId="0" applyFill="1" applyBorder="1" applyAlignment="1">
      <alignment horizontal="center" vertical="center" wrapText="1"/>
    </xf>
    <xf numFmtId="4" fontId="0" fillId="3" borderId="1" xfId="0" applyNumberFormat="1" applyFill="1" applyBorder="1" applyAlignment="1">
      <alignment horizontal="center" vertical="center" wrapText="1"/>
    </xf>
    <xf numFmtId="166" fontId="0" fillId="3" borderId="0" xfId="0" applyNumberFormat="1" applyFill="1" applyAlignment="1">
      <alignment horizontal="center" vertical="center" wrapText="1"/>
    </xf>
    <xf numFmtId="0" fontId="17" fillId="3" borderId="1" xfId="0" applyFont="1" applyFill="1" applyBorder="1" applyAlignment="1">
      <alignment horizontal="center" vertical="center" wrapText="1"/>
    </xf>
    <xf numFmtId="4" fontId="17" fillId="3" borderId="1" xfId="0" applyNumberFormat="1" applyFont="1" applyFill="1" applyBorder="1" applyAlignment="1">
      <alignment horizontal="center" vertical="center" wrapText="1"/>
    </xf>
    <xf numFmtId="166" fontId="0" fillId="0" borderId="0" xfId="0" applyNumberFormat="1" applyAlignment="1">
      <alignment vertical="center"/>
    </xf>
    <xf numFmtId="166" fontId="0" fillId="0" borderId="0" xfId="0" applyNumberFormat="1" applyAlignment="1">
      <alignment vertical="center" wrapText="1"/>
    </xf>
    <xf numFmtId="1" fontId="0" fillId="0" borderId="0" xfId="0" applyNumberFormat="1" applyAlignment="1">
      <alignment horizontal="center" vertical="center"/>
    </xf>
    <xf numFmtId="4" fontId="0" fillId="0" borderId="0" xfId="0" applyNumberFormat="1" applyAlignment="1">
      <alignment vertical="center" wrapText="1"/>
    </xf>
    <xf numFmtId="0" fontId="0" fillId="0" borderId="0" xfId="0" applyAlignment="1">
      <alignment horizontal="center" vertical="center"/>
    </xf>
    <xf numFmtId="4" fontId="0" fillId="0" borderId="0" xfId="0" applyNumberFormat="1" applyAlignment="1">
      <alignment vertical="center"/>
    </xf>
    <xf numFmtId="0" fontId="30" fillId="0" borderId="0" xfId="0" applyFont="1" applyAlignment="1">
      <alignment horizontal="center" vertical="center"/>
    </xf>
    <xf numFmtId="2" fontId="30" fillId="0" borderId="54" xfId="0" applyNumberFormat="1" applyFont="1" applyBorder="1" applyAlignment="1">
      <alignment horizontal="center" vertical="center"/>
    </xf>
    <xf numFmtId="2" fontId="30" fillId="0" borderId="55" xfId="0" applyNumberFormat="1" applyFont="1" applyBorder="1" applyAlignment="1">
      <alignment horizontal="center" vertical="center"/>
    </xf>
    <xf numFmtId="2" fontId="30" fillId="0" borderId="57" xfId="0" applyNumberFormat="1" applyFont="1" applyBorder="1" applyAlignment="1">
      <alignment horizontal="center" vertical="center"/>
    </xf>
    <xf numFmtId="2" fontId="30" fillId="0" borderId="53" xfId="0" applyNumberFormat="1" applyFont="1" applyBorder="1" applyAlignment="1">
      <alignment horizontal="center" vertical="center"/>
    </xf>
    <xf numFmtId="4" fontId="0" fillId="0" borderId="56" xfId="0" applyNumberFormat="1" applyBorder="1" applyAlignment="1">
      <alignment vertical="center"/>
    </xf>
    <xf numFmtId="4" fontId="0" fillId="0" borderId="58" xfId="0" applyNumberFormat="1" applyBorder="1" applyAlignment="1">
      <alignment vertical="center"/>
    </xf>
    <xf numFmtId="4" fontId="0" fillId="0" borderId="54" xfId="0" applyNumberFormat="1" applyBorder="1" applyAlignment="1">
      <alignment vertical="center"/>
    </xf>
    <xf numFmtId="2" fontId="30" fillId="0" borderId="53" xfId="0" applyNumberFormat="1" applyFont="1" applyBorder="1" applyAlignment="1">
      <alignment horizontal="center" vertical="center" wrapText="1"/>
    </xf>
    <xf numFmtId="4" fontId="0" fillId="0" borderId="55" xfId="0" applyNumberFormat="1" applyBorder="1" applyAlignment="1">
      <alignment vertical="center"/>
    </xf>
    <xf numFmtId="4" fontId="0" fillId="0" borderId="57" xfId="0" applyNumberFormat="1" applyBorder="1" applyAlignment="1">
      <alignment vertical="center"/>
    </xf>
    <xf numFmtId="4" fontId="0" fillId="0" borderId="53" xfId="0" applyNumberFormat="1" applyBorder="1" applyAlignment="1">
      <alignment vertical="center"/>
    </xf>
    <xf numFmtId="2" fontId="30" fillId="0" borderId="56" xfId="0" applyNumberFormat="1" applyFont="1" applyBorder="1" applyAlignment="1">
      <alignment vertical="center" wrapText="1"/>
    </xf>
    <xf numFmtId="2" fontId="0" fillId="0" borderId="58" xfId="0" applyNumberFormat="1" applyBorder="1" applyAlignment="1">
      <alignment vertical="center" wrapText="1"/>
    </xf>
    <xf numFmtId="2" fontId="0" fillId="0" borderId="54" xfId="0" applyNumberFormat="1" applyBorder="1" applyAlignment="1">
      <alignment vertical="center" wrapText="1"/>
    </xf>
    <xf numFmtId="2" fontId="30" fillId="0" borderId="58" xfId="0" applyNumberFormat="1" applyFont="1" applyBorder="1" applyAlignment="1">
      <alignment vertical="center" wrapText="1"/>
    </xf>
    <xf numFmtId="2" fontId="30" fillId="0" borderId="54" xfId="0" applyNumberFormat="1" applyFont="1" applyBorder="1" applyAlignment="1">
      <alignment vertical="center" wrapText="1"/>
    </xf>
    <xf numFmtId="2" fontId="58" fillId="0" borderId="54" xfId="0" applyNumberFormat="1" applyFont="1" applyBorder="1" applyAlignment="1">
      <alignment horizontal="center" vertical="center"/>
    </xf>
    <xf numFmtId="4" fontId="30" fillId="0" borderId="55" xfId="0" applyNumberFormat="1" applyFont="1" applyBorder="1" applyAlignment="1">
      <alignment vertical="center" wrapText="1"/>
    </xf>
    <xf numFmtId="4" fontId="30" fillId="0" borderId="56" xfId="0" applyNumberFormat="1" applyFont="1" applyBorder="1" applyAlignment="1">
      <alignment vertical="center"/>
    </xf>
    <xf numFmtId="4" fontId="0" fillId="0" borderId="57" xfId="0" applyNumberFormat="1" applyBorder="1" applyAlignment="1">
      <alignment vertical="center" wrapText="1"/>
    </xf>
    <xf numFmtId="4" fontId="0" fillId="0" borderId="53" xfId="0" applyNumberFormat="1" applyBorder="1" applyAlignment="1">
      <alignment vertical="center" wrapText="1"/>
    </xf>
    <xf numFmtId="4" fontId="0" fillId="0" borderId="55" xfId="0" applyNumberFormat="1" applyBorder="1" applyAlignment="1">
      <alignment vertical="center" wrapText="1"/>
    </xf>
    <xf numFmtId="4" fontId="43" fillId="0" borderId="57" xfId="0" applyNumberFormat="1" applyFont="1" applyBorder="1" applyAlignment="1">
      <alignment vertical="center" wrapText="1"/>
    </xf>
    <xf numFmtId="4" fontId="43" fillId="0" borderId="53" xfId="0" applyNumberFormat="1" applyFont="1" applyBorder="1" applyAlignment="1">
      <alignment vertical="center" wrapText="1"/>
    </xf>
    <xf numFmtId="4" fontId="0" fillId="0" borderId="59" xfId="0" applyNumberFormat="1" applyBorder="1" applyAlignment="1">
      <alignment vertical="center"/>
    </xf>
    <xf numFmtId="4" fontId="0" fillId="0" borderId="59" xfId="0" applyNumberFormat="1" applyBorder="1" applyAlignment="1">
      <alignment vertical="center" wrapText="1"/>
    </xf>
    <xf numFmtId="4" fontId="43" fillId="0" borderId="59" xfId="0" applyNumberFormat="1" applyFont="1" applyBorder="1" applyAlignment="1">
      <alignment vertical="center" wrapText="1"/>
    </xf>
    <xf numFmtId="4" fontId="43" fillId="0" borderId="58" xfId="0" applyNumberFormat="1" applyFont="1" applyBorder="1" applyAlignment="1">
      <alignment vertical="center" wrapText="1"/>
    </xf>
    <xf numFmtId="0" fontId="13" fillId="0" borderId="0" xfId="0" applyFont="1" applyAlignment="1">
      <alignment wrapText="1"/>
    </xf>
    <xf numFmtId="166" fontId="13" fillId="0" borderId="0" xfId="0" applyNumberFormat="1" applyFont="1"/>
    <xf numFmtId="0" fontId="14" fillId="0" borderId="60" xfId="0" applyFont="1" applyBorder="1" applyAlignment="1">
      <alignment wrapText="1"/>
    </xf>
    <xf numFmtId="166" fontId="13" fillId="0" borderId="60" xfId="0" applyNumberFormat="1" applyFont="1" applyBorder="1"/>
    <xf numFmtId="0" fontId="13" fillId="0" borderId="60" xfId="0" applyFont="1" applyBorder="1"/>
    <xf numFmtId="0" fontId="13" fillId="0" borderId="60" xfId="0" applyFont="1" applyBorder="1" applyAlignment="1">
      <alignment wrapText="1"/>
    </xf>
    <xf numFmtId="0" fontId="27" fillId="0" borderId="1" xfId="0" applyFont="1" applyBorder="1" applyAlignment="1">
      <alignment horizontal="center" vertical="center" wrapText="1"/>
    </xf>
    <xf numFmtId="0" fontId="14" fillId="0" borderId="0" xfId="0" applyFont="1"/>
    <xf numFmtId="0" fontId="13" fillId="0" borderId="0" xfId="0" applyFont="1" applyAlignment="1">
      <alignment vertical="center" wrapText="1"/>
    </xf>
    <xf numFmtId="0" fontId="13" fillId="0" borderId="0" xfId="0" applyFont="1" applyAlignment="1">
      <alignment horizontal="right" vertical="center" wrapText="1"/>
    </xf>
    <xf numFmtId="0" fontId="13" fillId="0" borderId="1" xfId="0" applyFont="1" applyBorder="1" applyAlignment="1">
      <alignment horizontal="center" vertical="center" wrapText="1"/>
    </xf>
    <xf numFmtId="0" fontId="44" fillId="0" borderId="0" xfId="0" applyFont="1" applyAlignment="1">
      <alignment horizontal="center" vertical="center"/>
    </xf>
    <xf numFmtId="0" fontId="36" fillId="0" borderId="0" xfId="0" applyFont="1" applyAlignment="1">
      <alignment vertical="center"/>
    </xf>
    <xf numFmtId="0" fontId="18" fillId="0" borderId="0" xfId="0" applyFont="1" applyAlignment="1">
      <alignment horizontal="left"/>
    </xf>
    <xf numFmtId="164" fontId="13" fillId="0" borderId="0" xfId="0" applyNumberFormat="1" applyFont="1" applyAlignment="1">
      <alignment horizontal="center" vertical="center"/>
    </xf>
    <xf numFmtId="0" fontId="14" fillId="0" borderId="0" xfId="0" applyFont="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wrapText="1"/>
    </xf>
    <xf numFmtId="166" fontId="13" fillId="0" borderId="0" xfId="0" applyNumberFormat="1" applyFont="1" applyAlignment="1">
      <alignment horizontal="center" vertical="center"/>
    </xf>
    <xf numFmtId="170" fontId="13" fillId="0" borderId="0" xfId="0" applyNumberFormat="1" applyFont="1" applyAlignment="1">
      <alignment horizontal="center" vertical="center"/>
    </xf>
    <xf numFmtId="10" fontId="28" fillId="0" borderId="0" xfId="0" applyNumberFormat="1" applyFont="1" applyAlignment="1">
      <alignment horizontal="center" vertical="center"/>
    </xf>
    <xf numFmtId="170" fontId="13" fillId="0" borderId="0" xfId="0" applyNumberFormat="1" applyFont="1"/>
    <xf numFmtId="0" fontId="21" fillId="0" borderId="0" xfId="0" applyFont="1"/>
    <xf numFmtId="0" fontId="13" fillId="0" borderId="0" xfId="0" applyFont="1" applyAlignment="1">
      <alignment horizontal="right"/>
    </xf>
    <xf numFmtId="10" fontId="14" fillId="0" borderId="0" xfId="0" applyNumberFormat="1" applyFont="1"/>
    <xf numFmtId="10" fontId="13" fillId="0" borderId="0" xfId="0" applyNumberFormat="1" applyFont="1"/>
    <xf numFmtId="4" fontId="30" fillId="0" borderId="0" xfId="0" applyNumberFormat="1" applyFont="1" applyAlignment="1">
      <alignment vertical="center"/>
    </xf>
    <xf numFmtId="166" fontId="0" fillId="0" borderId="1" xfId="0" applyNumberFormat="1" applyBorder="1" applyAlignment="1">
      <alignment vertical="center" wrapText="1"/>
    </xf>
    <xf numFmtId="166" fontId="0" fillId="0" borderId="1" xfId="0" applyNumberFormat="1" applyBorder="1" applyAlignment="1">
      <alignment vertical="center"/>
    </xf>
    <xf numFmtId="1" fontId="0" fillId="0" borderId="1" xfId="0" applyNumberFormat="1" applyBorder="1" applyAlignment="1">
      <alignment horizontal="center" vertical="center"/>
    </xf>
    <xf numFmtId="4" fontId="0" fillId="0" borderId="1" xfId="0" applyNumberFormat="1" applyBorder="1" applyAlignment="1">
      <alignment vertical="center"/>
    </xf>
    <xf numFmtId="170" fontId="0" fillId="0" borderId="1" xfId="0" applyNumberFormat="1" applyBorder="1" applyAlignment="1">
      <alignment vertical="center"/>
    </xf>
    <xf numFmtId="170" fontId="0" fillId="0" borderId="0" xfId="0" applyNumberFormat="1" applyAlignment="1">
      <alignment vertical="center"/>
    </xf>
    <xf numFmtId="170" fontId="0" fillId="0" borderId="1" xfId="0" applyNumberFormat="1" applyBorder="1" applyAlignment="1">
      <alignment horizontal="center" vertical="center"/>
    </xf>
    <xf numFmtId="166" fontId="0" fillId="0" borderId="0" xfId="0" applyNumberFormat="1" applyAlignment="1">
      <alignment horizontal="right" vertical="center" wrapText="1"/>
    </xf>
    <xf numFmtId="170" fontId="30" fillId="0" borderId="1" xfId="0" applyNumberFormat="1" applyFont="1" applyBorder="1" applyAlignment="1">
      <alignment horizontal="center" vertical="center" wrapText="1"/>
    </xf>
    <xf numFmtId="166" fontId="30" fillId="0" borderId="1" xfId="0" applyNumberFormat="1" applyFont="1" applyBorder="1" applyAlignment="1">
      <alignment horizontal="center" vertical="center" wrapText="1"/>
    </xf>
    <xf numFmtId="4" fontId="6" fillId="0" borderId="1" xfId="0" applyNumberFormat="1" applyFont="1" applyBorder="1" applyAlignment="1">
      <alignment horizontal="right" vertical="center" wrapText="1"/>
    </xf>
    <xf numFmtId="166" fontId="0" fillId="4" borderId="1" xfId="0" applyNumberFormat="1" applyFill="1" applyBorder="1" applyAlignment="1">
      <alignment vertical="center"/>
    </xf>
    <xf numFmtId="4" fontId="43" fillId="0" borderId="1" xfId="0" applyNumberFormat="1" applyFont="1" applyBorder="1" applyAlignment="1">
      <alignment vertical="center"/>
    </xf>
    <xf numFmtId="1" fontId="43" fillId="0" borderId="1" xfId="0" applyNumberFormat="1" applyFont="1" applyBorder="1" applyAlignment="1">
      <alignment horizontal="center" vertical="center"/>
    </xf>
    <xf numFmtId="166" fontId="43" fillId="0" borderId="1" xfId="0" applyNumberFormat="1" applyFont="1" applyBorder="1" applyAlignment="1">
      <alignment vertical="center" wrapText="1"/>
    </xf>
    <xf numFmtId="170" fontId="43" fillId="0" borderId="1" xfId="0" applyNumberFormat="1" applyFont="1" applyBorder="1" applyAlignment="1">
      <alignment horizontal="center" vertical="center"/>
    </xf>
    <xf numFmtId="166" fontId="43" fillId="0" borderId="1" xfId="0" applyNumberFormat="1" applyFont="1" applyBorder="1" applyAlignment="1">
      <alignment vertical="center"/>
    </xf>
    <xf numFmtId="166" fontId="43" fillId="0" borderId="0" xfId="0" applyNumberFormat="1" applyFont="1" applyAlignment="1">
      <alignment vertical="center"/>
    </xf>
    <xf numFmtId="4" fontId="5" fillId="3" borderId="1" xfId="0" applyNumberFormat="1" applyFont="1" applyFill="1" applyBorder="1" applyAlignment="1">
      <alignment horizontal="center" vertical="center" wrapText="1"/>
    </xf>
    <xf numFmtId="4" fontId="0" fillId="3" borderId="1" xfId="0" applyNumberFormat="1" applyFill="1" applyBorder="1" applyAlignment="1">
      <alignment vertical="center"/>
    </xf>
    <xf numFmtId="170" fontId="43" fillId="0" borderId="1" xfId="0" applyNumberFormat="1" applyFont="1" applyBorder="1" applyAlignment="1">
      <alignment vertical="center"/>
    </xf>
    <xf numFmtId="166" fontId="43" fillId="4" borderId="1" xfId="0" applyNumberFormat="1" applyFont="1" applyFill="1" applyBorder="1" applyAlignment="1">
      <alignment vertical="center"/>
    </xf>
    <xf numFmtId="4" fontId="43" fillId="3" borderId="1" xfId="0" applyNumberFormat="1" applyFont="1" applyFill="1" applyBorder="1" applyAlignment="1">
      <alignment vertical="center"/>
    </xf>
    <xf numFmtId="0" fontId="13" fillId="0" borderId="0" xfId="0" applyFont="1" applyAlignment="1">
      <alignment horizontal="center" vertical="center" wrapText="1"/>
    </xf>
    <xf numFmtId="170" fontId="13" fillId="0" borderId="1" xfId="0" applyNumberFormat="1" applyFont="1" applyBorder="1" applyAlignment="1">
      <alignment horizontal="center" vertical="center" wrapText="1"/>
    </xf>
    <xf numFmtId="0" fontId="18" fillId="0" borderId="0" xfId="0" applyFont="1" applyAlignment="1">
      <alignment horizontal="center" vertical="center" wrapText="1"/>
    </xf>
    <xf numFmtId="0" fontId="13" fillId="6" borderId="1" xfId="0" applyFont="1" applyFill="1" applyBorder="1" applyAlignment="1">
      <alignment vertical="center" wrapText="1"/>
    </xf>
    <xf numFmtId="0" fontId="0" fillId="6" borderId="0" xfId="0" applyFill="1" applyAlignment="1">
      <alignment vertical="center"/>
    </xf>
    <xf numFmtId="0" fontId="0" fillId="6" borderId="16" xfId="0" applyFill="1" applyBorder="1" applyAlignment="1">
      <alignment horizontal="center" vertical="center"/>
    </xf>
    <xf numFmtId="164" fontId="13" fillId="6" borderId="1" xfId="0" applyNumberFormat="1" applyFont="1" applyFill="1" applyBorder="1" applyAlignment="1">
      <alignment vertical="center"/>
    </xf>
    <xf numFmtId="3" fontId="28" fillId="0" borderId="0" xfId="0" applyNumberFormat="1" applyFont="1" applyAlignment="1">
      <alignment horizontal="center" vertical="center"/>
    </xf>
    <xf numFmtId="0" fontId="30" fillId="0" borderId="0" xfId="0" applyFont="1" applyAlignment="1">
      <alignment vertical="center"/>
    </xf>
    <xf numFmtId="0" fontId="10" fillId="3" borderId="1" xfId="0" applyFont="1" applyFill="1" applyBorder="1" applyAlignment="1">
      <alignment vertical="center" wrapText="1"/>
    </xf>
    <xf numFmtId="0" fontId="0" fillId="3" borderId="0" xfId="0" applyFill="1" applyAlignment="1">
      <alignment vertical="center"/>
    </xf>
    <xf numFmtId="0" fontId="10" fillId="8" borderId="1" xfId="0" applyFont="1" applyFill="1" applyBorder="1" applyAlignment="1">
      <alignment vertical="center" wrapText="1"/>
    </xf>
    <xf numFmtId="0" fontId="10" fillId="2" borderId="1" xfId="0" applyFont="1" applyFill="1" applyBorder="1" applyAlignment="1">
      <alignment vertical="center" wrapText="1"/>
    </xf>
    <xf numFmtId="0" fontId="10" fillId="3" borderId="1"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29" fillId="8" borderId="1" xfId="0" applyFont="1" applyFill="1" applyBorder="1" applyAlignment="1">
      <alignment vertical="center" wrapText="1"/>
    </xf>
    <xf numFmtId="0" fontId="11" fillId="3" borderId="1" xfId="0" applyFont="1" applyFill="1" applyBorder="1" applyAlignment="1">
      <alignment horizontal="center" vertical="center" wrapText="1"/>
    </xf>
    <xf numFmtId="3" fontId="11"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xf>
    <xf numFmtId="4" fontId="10" fillId="3" borderId="4" xfId="0" applyNumberFormat="1" applyFont="1" applyFill="1" applyBorder="1" applyAlignment="1">
      <alignment vertical="center"/>
    </xf>
    <xf numFmtId="0" fontId="10" fillId="3" borderId="1" xfId="0" applyFont="1" applyFill="1" applyBorder="1" applyAlignment="1">
      <alignment vertical="center"/>
    </xf>
    <xf numFmtId="4" fontId="10" fillId="3" borderId="1" xfId="0" applyNumberFormat="1" applyFont="1" applyFill="1" applyBorder="1" applyAlignment="1">
      <alignment vertical="center"/>
    </xf>
    <xf numFmtId="0" fontId="11" fillId="3" borderId="1" xfId="0" applyFont="1" applyFill="1" applyBorder="1" applyAlignment="1">
      <alignment horizontal="center" vertical="center"/>
    </xf>
    <xf numFmtId="0" fontId="30" fillId="3" borderId="0" xfId="0" applyFont="1" applyFill="1" applyAlignment="1">
      <alignment horizontal="center" vertical="center"/>
    </xf>
    <xf numFmtId="0" fontId="0" fillId="8" borderId="0" xfId="0" applyFill="1" applyAlignment="1">
      <alignment vertical="center"/>
    </xf>
    <xf numFmtId="0" fontId="10" fillId="8" borderId="1" xfId="0" applyFont="1" applyFill="1" applyBorder="1" applyAlignment="1">
      <alignment horizontal="center" vertical="center"/>
    </xf>
    <xf numFmtId="4" fontId="10" fillId="8" borderId="1" xfId="0" applyNumberFormat="1" applyFont="1" applyFill="1" applyBorder="1" applyAlignment="1">
      <alignment vertical="center"/>
    </xf>
    <xf numFmtId="0" fontId="10" fillId="8" borderId="1" xfId="0" applyFont="1" applyFill="1" applyBorder="1" applyAlignment="1">
      <alignment vertical="center"/>
    </xf>
    <xf numFmtId="4" fontId="10" fillId="8" borderId="4" xfId="0" applyNumberFormat="1" applyFont="1" applyFill="1" applyBorder="1" applyAlignment="1">
      <alignment vertical="center"/>
    </xf>
    <xf numFmtId="0" fontId="0" fillId="2" borderId="0" xfId="0" applyFill="1" applyAlignment="1">
      <alignment vertical="center"/>
    </xf>
    <xf numFmtId="0" fontId="10" fillId="2" borderId="1" xfId="0" applyFont="1" applyFill="1" applyBorder="1" applyAlignment="1">
      <alignment horizontal="center" vertical="center"/>
    </xf>
    <xf numFmtId="4" fontId="10" fillId="2" borderId="4" xfId="0" applyNumberFormat="1" applyFont="1" applyFill="1" applyBorder="1" applyAlignment="1">
      <alignment vertical="center"/>
    </xf>
    <xf numFmtId="0" fontId="10" fillId="2" borderId="1" xfId="0" applyFont="1" applyFill="1" applyBorder="1" applyAlignment="1">
      <alignment vertical="center"/>
    </xf>
    <xf numFmtId="4" fontId="10" fillId="2" borderId="1" xfId="0" applyNumberFormat="1" applyFont="1" applyFill="1" applyBorder="1" applyAlignment="1">
      <alignment vertical="center"/>
    </xf>
    <xf numFmtId="0" fontId="11" fillId="8"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0" fillId="0" borderId="0" xfId="0" applyAlignment="1">
      <alignment horizontal="left" vertical="center"/>
    </xf>
    <xf numFmtId="0" fontId="11" fillId="2" borderId="1" xfId="0"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0" fontId="30" fillId="2" borderId="0" xfId="0" applyFont="1" applyFill="1" applyAlignment="1">
      <alignment vertical="center"/>
    </xf>
    <xf numFmtId="0" fontId="11" fillId="8" borderId="1" xfId="0" applyFont="1" applyFill="1" applyBorder="1" applyAlignment="1">
      <alignment horizontal="center" vertical="center" wrapText="1"/>
    </xf>
    <xf numFmtId="3" fontId="11" fillId="8" borderId="1" xfId="0" applyNumberFormat="1" applyFont="1" applyFill="1" applyBorder="1" applyAlignment="1">
      <alignment horizontal="center" vertical="center" wrapText="1"/>
    </xf>
    <xf numFmtId="4" fontId="11" fillId="8" borderId="1" xfId="0" applyNumberFormat="1" applyFont="1" applyFill="1" applyBorder="1" applyAlignment="1">
      <alignment horizontal="center" vertical="center" wrapText="1"/>
    </xf>
    <xf numFmtId="0" fontId="30" fillId="8" borderId="0" xfId="0" applyFont="1" applyFill="1" applyAlignment="1">
      <alignment horizontal="center" vertical="center"/>
    </xf>
    <xf numFmtId="0" fontId="11"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3" fillId="6" borderId="1" xfId="0" applyFont="1" applyFill="1" applyBorder="1" applyAlignment="1">
      <alignment horizontal="left" vertical="center" wrapText="1"/>
    </xf>
    <xf numFmtId="16" fontId="0" fillId="6" borderId="16" xfId="0" applyNumberFormat="1" applyFill="1" applyBorder="1" applyAlignment="1">
      <alignment horizontal="center" vertical="center"/>
    </xf>
    <xf numFmtId="164" fontId="28" fillId="6" borderId="1" xfId="0" applyNumberFormat="1" applyFont="1" applyFill="1" applyBorder="1" applyAlignment="1">
      <alignment vertical="center"/>
    </xf>
    <xf numFmtId="0" fontId="10" fillId="6" borderId="1" xfId="0" applyFont="1" applyFill="1" applyBorder="1" applyAlignment="1">
      <alignment horizontal="left" vertical="center" wrapText="1"/>
    </xf>
    <xf numFmtId="166" fontId="18" fillId="0" borderId="1" xfId="0" applyNumberFormat="1" applyFont="1" applyBorder="1" applyAlignment="1">
      <alignment horizontal="center" vertical="center"/>
    </xf>
    <xf numFmtId="4" fontId="18" fillId="0" borderId="1" xfId="0" applyNumberFormat="1" applyFont="1" applyBorder="1" applyAlignment="1">
      <alignment horizontal="center" vertical="center"/>
    </xf>
    <xf numFmtId="0" fontId="10" fillId="7" borderId="1" xfId="0" applyFont="1" applyFill="1" applyBorder="1" applyAlignment="1">
      <alignment vertical="center" wrapText="1"/>
    </xf>
    <xf numFmtId="0" fontId="10" fillId="7" borderId="1" xfId="0" applyFont="1" applyFill="1" applyBorder="1" applyAlignment="1">
      <alignment horizontal="left" vertical="center" wrapText="1"/>
    </xf>
    <xf numFmtId="4" fontId="10" fillId="4" borderId="1" xfId="0" applyNumberFormat="1" applyFont="1" applyFill="1" applyBorder="1" applyAlignment="1">
      <alignment vertical="center"/>
    </xf>
    <xf numFmtId="0" fontId="18" fillId="0" borderId="0" xfId="0" applyFont="1" applyAlignment="1">
      <alignment horizontal="center" vertical="center"/>
    </xf>
    <xf numFmtId="0" fontId="20" fillId="0" borderId="27" xfId="0" applyFont="1" applyBorder="1" applyAlignment="1">
      <alignment horizontal="center" vertical="center" wrapText="1"/>
    </xf>
    <xf numFmtId="0" fontId="18" fillId="0" borderId="0" xfId="0" applyFont="1" applyAlignment="1">
      <alignment horizontal="right" vertical="center"/>
    </xf>
    <xf numFmtId="0" fontId="44" fillId="0" borderId="0" xfId="0" applyFont="1" applyAlignment="1">
      <alignment horizontal="right"/>
    </xf>
    <xf numFmtId="0" fontId="27" fillId="0" borderId="0" xfId="0" applyFont="1" applyAlignment="1">
      <alignment horizontal="center" vertical="center" wrapText="1"/>
    </xf>
    <xf numFmtId="0" fontId="0" fillId="0" borderId="16" xfId="0" applyBorder="1" applyAlignment="1">
      <alignment horizontal="center" vertical="center"/>
    </xf>
    <xf numFmtId="0" fontId="10" fillId="0" borderId="1" xfId="0" applyFont="1" applyBorder="1" applyAlignment="1">
      <alignment vertical="center" wrapText="1"/>
    </xf>
    <xf numFmtId="164" fontId="13" fillId="0" borderId="1" xfId="0" applyNumberFormat="1" applyFont="1" applyBorder="1" applyAlignment="1">
      <alignment horizontal="right" vertical="center"/>
    </xf>
    <xf numFmtId="164" fontId="13" fillId="0" borderId="27" xfId="0" applyNumberFormat="1" applyFont="1" applyBorder="1" applyAlignment="1">
      <alignment vertical="center"/>
    </xf>
    <xf numFmtId="164" fontId="38" fillId="0" borderId="0" xfId="0" applyNumberFormat="1" applyFont="1" applyAlignment="1">
      <alignment horizontal="center" vertical="center"/>
    </xf>
    <xf numFmtId="0" fontId="2" fillId="0" borderId="0" xfId="0" applyFont="1" applyAlignment="1">
      <alignment vertical="center"/>
    </xf>
    <xf numFmtId="164" fontId="2" fillId="0" borderId="0" xfId="0" applyNumberFormat="1" applyFont="1" applyAlignment="1">
      <alignment vertical="center"/>
    </xf>
    <xf numFmtId="166" fontId="13" fillId="0" borderId="27" xfId="0" applyNumberFormat="1" applyFont="1" applyBorder="1" applyAlignment="1">
      <alignment vertical="center"/>
    </xf>
    <xf numFmtId="164" fontId="36" fillId="0" borderId="0" xfId="0" applyNumberFormat="1" applyFont="1" applyAlignment="1">
      <alignment horizontal="center" vertical="center"/>
    </xf>
    <xf numFmtId="164" fontId="0" fillId="0" borderId="0" xfId="0" applyNumberFormat="1" applyAlignment="1">
      <alignment vertical="center"/>
    </xf>
    <xf numFmtId="164" fontId="42" fillId="0" borderId="0" xfId="0" applyNumberFormat="1" applyFont="1" applyAlignment="1">
      <alignment horizontal="center" vertical="center"/>
    </xf>
    <xf numFmtId="164" fontId="28" fillId="0" borderId="27" xfId="0" applyNumberFormat="1" applyFont="1" applyBorder="1" applyAlignment="1">
      <alignment vertical="center"/>
    </xf>
    <xf numFmtId="14" fontId="35" fillId="0" borderId="16" xfId="0" applyNumberFormat="1" applyFont="1" applyBorder="1" applyAlignment="1">
      <alignment horizontal="center" vertical="center"/>
    </xf>
    <xf numFmtId="0" fontId="32" fillId="0" borderId="1" xfId="0" applyFont="1" applyBorder="1" applyAlignment="1">
      <alignment horizontal="left" vertical="center" wrapText="1"/>
    </xf>
    <xf numFmtId="164" fontId="32" fillId="0" borderId="1" xfId="0" applyNumberFormat="1" applyFont="1" applyBorder="1" applyAlignment="1">
      <alignment horizontal="right" vertical="center" wrapText="1"/>
    </xf>
    <xf numFmtId="164" fontId="32" fillId="0" borderId="1" xfId="0" applyNumberFormat="1" applyFont="1" applyBorder="1" applyAlignment="1">
      <alignment vertical="center"/>
    </xf>
    <xf numFmtId="164" fontId="32" fillId="0" borderId="27" xfId="0" applyNumberFormat="1" applyFont="1" applyBorder="1" applyAlignment="1">
      <alignment vertical="center"/>
    </xf>
    <xf numFmtId="164" fontId="70" fillId="0" borderId="0" xfId="0" applyNumberFormat="1" applyFont="1" applyAlignment="1">
      <alignment horizontal="center" vertical="center"/>
    </xf>
    <xf numFmtId="164" fontId="4" fillId="0" borderId="0" xfId="0" applyNumberFormat="1" applyFont="1" applyAlignment="1">
      <alignment vertical="center"/>
    </xf>
    <xf numFmtId="0" fontId="4" fillId="0" borderId="0" xfId="0" applyFont="1" applyAlignment="1">
      <alignment vertical="center"/>
    </xf>
    <xf numFmtId="4" fontId="29" fillId="2" borderId="1" xfId="0" applyNumberFormat="1" applyFont="1" applyFill="1" applyBorder="1" applyAlignment="1">
      <alignment vertical="center"/>
    </xf>
    <xf numFmtId="164" fontId="10" fillId="0" borderId="0" xfId="0" applyNumberFormat="1" applyFont="1" applyAlignment="1">
      <alignment horizontal="center" vertical="center"/>
    </xf>
    <xf numFmtId="164" fontId="10" fillId="0" borderId="0" xfId="0" applyNumberFormat="1" applyFont="1" applyAlignment="1">
      <alignment vertical="center"/>
    </xf>
    <xf numFmtId="0" fontId="10" fillId="0" borderId="0" xfId="0" applyFont="1" applyAlignment="1">
      <alignment vertical="center"/>
    </xf>
    <xf numFmtId="164" fontId="17" fillId="0" borderId="0" xfId="0" applyNumberFormat="1" applyFont="1" applyAlignment="1">
      <alignment vertical="center"/>
    </xf>
    <xf numFmtId="0" fontId="10" fillId="0" borderId="0" xfId="0" applyFont="1" applyAlignment="1">
      <alignment horizontal="center" vertical="center"/>
    </xf>
    <xf numFmtId="164" fontId="44" fillId="0" borderId="0" xfId="0" applyNumberFormat="1" applyFont="1" applyAlignment="1">
      <alignment vertical="center"/>
    </xf>
    <xf numFmtId="0" fontId="10" fillId="0" borderId="0" xfId="0" applyFont="1" applyAlignment="1">
      <alignment horizontal="center" vertical="center" wrapText="1"/>
    </xf>
    <xf numFmtId="0" fontId="14" fillId="0" borderId="22" xfId="0" applyFont="1" applyBorder="1" applyAlignment="1">
      <alignment horizontal="center" vertical="center" wrapText="1"/>
    </xf>
    <xf numFmtId="0" fontId="14" fillId="0" borderId="40" xfId="0" applyFont="1" applyBorder="1" applyAlignment="1">
      <alignment horizontal="center" vertical="center" wrapText="1"/>
    </xf>
    <xf numFmtId="164" fontId="11" fillId="0" borderId="21" xfId="0" applyNumberFormat="1" applyFont="1" applyBorder="1" applyAlignment="1">
      <alignment horizontal="center" vertical="center"/>
    </xf>
    <xf numFmtId="164" fontId="11" fillId="0" borderId="37" xfId="0" applyNumberFormat="1" applyFont="1" applyBorder="1" applyAlignment="1">
      <alignment horizontal="center" vertical="center"/>
    </xf>
    <xf numFmtId="0" fontId="11" fillId="0" borderId="43" xfId="0" applyFont="1" applyBorder="1" applyAlignment="1">
      <alignment horizontal="center" vertical="center"/>
    </xf>
    <xf numFmtId="0" fontId="14" fillId="0" borderId="21" xfId="0" applyFont="1" applyBorder="1" applyAlignment="1">
      <alignment horizontal="center" vertical="center"/>
    </xf>
    <xf numFmtId="0" fontId="14" fillId="0" borderId="34" xfId="0" applyFont="1" applyBorder="1" applyAlignment="1">
      <alignment horizontal="center" vertical="center"/>
    </xf>
    <xf numFmtId="0" fontId="14" fillId="0" borderId="43" xfId="0" applyFont="1" applyBorder="1" applyAlignment="1">
      <alignment horizontal="center" vertical="center"/>
    </xf>
    <xf numFmtId="1" fontId="20" fillId="0" borderId="21" xfId="0" applyNumberFormat="1" applyFont="1" applyBorder="1" applyAlignment="1">
      <alignment horizontal="center" vertical="center"/>
    </xf>
    <xf numFmtId="1" fontId="20" fillId="0" borderId="37" xfId="0" applyNumberFormat="1" applyFont="1" applyBorder="1" applyAlignment="1">
      <alignment horizontal="center" vertical="center"/>
    </xf>
    <xf numFmtId="0" fontId="11" fillId="0" borderId="0" xfId="0" applyFont="1" applyAlignment="1">
      <alignment horizontal="center" vertical="center"/>
    </xf>
    <xf numFmtId="166" fontId="10" fillId="0" borderId="0" xfId="0" applyNumberFormat="1" applyFont="1" applyAlignment="1">
      <alignment horizontal="center" vertical="center"/>
    </xf>
    <xf numFmtId="164" fontId="29" fillId="0" borderId="0" xfId="0" applyNumberFormat="1" applyFont="1" applyAlignment="1">
      <alignment horizontal="left" vertical="center"/>
    </xf>
    <xf numFmtId="4" fontId="10" fillId="0" borderId="0" xfId="0" applyNumberFormat="1" applyFont="1" applyAlignment="1">
      <alignment vertical="center"/>
    </xf>
    <xf numFmtId="169" fontId="10" fillId="0" borderId="0" xfId="0" applyNumberFormat="1" applyFont="1" applyAlignment="1">
      <alignment horizontal="center" vertical="center"/>
    </xf>
    <xf numFmtId="169" fontId="10" fillId="0" borderId="0" xfId="0" applyNumberFormat="1" applyFont="1" applyAlignment="1">
      <alignment horizontal="left" vertical="center"/>
    </xf>
    <xf numFmtId="164" fontId="10" fillId="0" borderId="10" xfId="0" applyNumberFormat="1" applyFont="1" applyBorder="1" applyAlignment="1">
      <alignment vertical="center"/>
    </xf>
    <xf numFmtId="171" fontId="10" fillId="0" borderId="0" xfId="0" applyNumberFormat="1" applyFont="1" applyAlignment="1">
      <alignment vertical="center"/>
    </xf>
    <xf numFmtId="169" fontId="10" fillId="0" borderId="0" xfId="0" applyNumberFormat="1" applyFont="1" applyAlignment="1">
      <alignment vertical="center"/>
    </xf>
    <xf numFmtId="0" fontId="10" fillId="0" borderId="1" xfId="0" applyFont="1" applyBorder="1" applyAlignment="1">
      <alignment horizontal="left" vertical="center" wrapText="1"/>
    </xf>
    <xf numFmtId="166" fontId="39" fillId="0" borderId="0" xfId="0" applyNumberFormat="1" applyFont="1" applyAlignment="1">
      <alignment horizontal="center" vertical="center"/>
    </xf>
    <xf numFmtId="0" fontId="39" fillId="0" borderId="0" xfId="0" applyFont="1" applyAlignment="1">
      <alignment vertical="center"/>
    </xf>
    <xf numFmtId="4" fontId="29" fillId="0" borderId="0" xfId="0" applyNumberFormat="1" applyFont="1" applyAlignment="1">
      <alignment horizontal="center" vertical="center"/>
    </xf>
    <xf numFmtId="0" fontId="29"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horizontal="left" vertical="center"/>
    </xf>
    <xf numFmtId="0" fontId="10" fillId="0" borderId="10" xfId="0" applyFont="1" applyBorder="1" applyAlignment="1">
      <alignment vertical="center"/>
    </xf>
    <xf numFmtId="0" fontId="29" fillId="0" borderId="10" xfId="0" applyFont="1" applyBorder="1" applyAlignment="1">
      <alignment horizontal="center" vertical="center"/>
    </xf>
    <xf numFmtId="0" fontId="39" fillId="0" borderId="0" xfId="0" applyFont="1" applyAlignment="1">
      <alignment horizontal="center" vertical="center"/>
    </xf>
    <xf numFmtId="4" fontId="39" fillId="0" borderId="0" xfId="0" applyNumberFormat="1" applyFont="1" applyAlignment="1">
      <alignment vertical="center"/>
    </xf>
    <xf numFmtId="164" fontId="39" fillId="0" borderId="0" xfId="0" applyNumberFormat="1" applyFont="1" applyAlignment="1">
      <alignment vertical="center"/>
    </xf>
    <xf numFmtId="164" fontId="39" fillId="0" borderId="0" xfId="0" applyNumberFormat="1" applyFont="1" applyAlignment="1">
      <alignment horizontal="center" vertical="center"/>
    </xf>
    <xf numFmtId="4" fontId="10" fillId="0" borderId="0" xfId="0" applyNumberFormat="1" applyFont="1" applyAlignment="1">
      <alignment horizontal="center" vertical="center"/>
    </xf>
    <xf numFmtId="168" fontId="10" fillId="0" borderId="0" xfId="0" applyNumberFormat="1" applyFont="1" applyAlignment="1">
      <alignment horizontal="center" vertical="center"/>
    </xf>
    <xf numFmtId="168" fontId="10" fillId="0" borderId="0" xfId="0" applyNumberFormat="1" applyFont="1" applyAlignment="1">
      <alignment vertical="center"/>
    </xf>
    <xf numFmtId="0" fontId="61" fillId="0" borderId="0" xfId="0" applyFont="1" applyAlignment="1">
      <alignment horizontal="center" vertical="center"/>
    </xf>
    <xf numFmtId="0" fontId="61" fillId="0" borderId="0" xfId="0" applyFont="1" applyAlignment="1">
      <alignment vertical="center"/>
    </xf>
    <xf numFmtId="164" fontId="60" fillId="0" borderId="0" xfId="0" applyNumberFormat="1" applyFont="1" applyAlignment="1">
      <alignment horizontal="center" vertical="center"/>
    </xf>
    <xf numFmtId="0" fontId="60" fillId="0" borderId="0" xfId="0" applyFont="1" applyAlignment="1">
      <alignment vertical="center"/>
    </xf>
    <xf numFmtId="0" fontId="60" fillId="0" borderId="0" xfId="0" applyFont="1" applyAlignment="1">
      <alignment horizontal="center" vertical="center"/>
    </xf>
    <xf numFmtId="0" fontId="51" fillId="0" borderId="0" xfId="0" applyFont="1" applyAlignment="1">
      <alignment horizontal="center" vertical="center"/>
    </xf>
    <xf numFmtId="0" fontId="51" fillId="0" borderId="0" xfId="0" applyFont="1" applyAlignment="1">
      <alignment vertical="center"/>
    </xf>
    <xf numFmtId="0" fontId="10" fillId="0" borderId="0" xfId="0" applyFont="1" applyAlignment="1">
      <alignment horizontal="left" vertical="center"/>
    </xf>
    <xf numFmtId="164" fontId="11" fillId="0" borderId="0" xfId="0" applyNumberFormat="1" applyFont="1" applyAlignment="1">
      <alignment horizontal="center" vertical="center"/>
    </xf>
    <xf numFmtId="0" fontId="60" fillId="0" borderId="0" xfId="0" applyFont="1" applyAlignment="1">
      <alignment horizontal="left" vertical="center"/>
    </xf>
    <xf numFmtId="164" fontId="60" fillId="0" borderId="0" xfId="0" applyNumberFormat="1" applyFont="1" applyAlignment="1">
      <alignment vertical="center"/>
    </xf>
    <xf numFmtId="164" fontId="29" fillId="0" borderId="0" xfId="0" applyNumberFormat="1" applyFont="1" applyAlignment="1">
      <alignment horizontal="center" vertical="center"/>
    </xf>
    <xf numFmtId="166" fontId="10" fillId="0" borderId="0" xfId="0" applyNumberFormat="1" applyFont="1" applyAlignment="1">
      <alignment horizontal="center" vertical="center" wrapText="1"/>
    </xf>
    <xf numFmtId="171" fontId="10" fillId="0" borderId="0" xfId="0" applyNumberFormat="1" applyFont="1" applyAlignment="1">
      <alignment horizontal="center" vertical="center" wrapText="1"/>
    </xf>
    <xf numFmtId="171" fontId="10" fillId="0" borderId="0" xfId="0" applyNumberFormat="1" applyFont="1" applyAlignment="1">
      <alignment horizontal="center" vertical="center"/>
    </xf>
    <xf numFmtId="166" fontId="10" fillId="0" borderId="0" xfId="0" applyNumberFormat="1" applyFont="1" applyAlignment="1">
      <alignment vertical="center"/>
    </xf>
    <xf numFmtId="3" fontId="13" fillId="0" borderId="0" xfId="0" applyNumberFormat="1" applyFont="1" applyAlignment="1">
      <alignment vertical="center"/>
    </xf>
    <xf numFmtId="0" fontId="44"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164" fontId="17" fillId="0" borderId="0" xfId="0" applyNumberFormat="1" applyFont="1" applyAlignment="1">
      <alignment horizontal="center" vertical="center"/>
    </xf>
    <xf numFmtId="0" fontId="10" fillId="0" borderId="0" xfId="0" applyFont="1" applyAlignment="1">
      <alignment vertical="center" wrapText="1"/>
    </xf>
    <xf numFmtId="164" fontId="14" fillId="0" borderId="1" xfId="0" applyNumberFormat="1" applyFont="1" applyBorder="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0" fillId="0" borderId="0" xfId="0" applyAlignment="1">
      <alignment horizontal="right" vertical="center"/>
    </xf>
    <xf numFmtId="0" fontId="46" fillId="0" borderId="0" xfId="0" applyFont="1" applyAlignment="1">
      <alignment vertical="center"/>
    </xf>
    <xf numFmtId="0" fontId="20" fillId="0" borderId="19"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 xfId="0" applyFont="1" applyBorder="1" applyAlignment="1">
      <alignment horizontal="center" vertical="center" wrapText="1"/>
    </xf>
    <xf numFmtId="0" fontId="14" fillId="0" borderId="1" xfId="0" applyFont="1" applyBorder="1" applyAlignment="1">
      <alignment vertical="center" wrapText="1"/>
    </xf>
    <xf numFmtId="165" fontId="14" fillId="0" borderId="1" xfId="0" applyNumberFormat="1" applyFont="1" applyBorder="1" applyAlignment="1">
      <alignment horizontal="right" vertical="center" wrapText="1"/>
    </xf>
    <xf numFmtId="165" fontId="14" fillId="0" borderId="27" xfId="0" applyNumberFormat="1" applyFont="1" applyBorder="1" applyAlignment="1">
      <alignment horizontal="right" vertical="center" wrapText="1"/>
    </xf>
    <xf numFmtId="0" fontId="17" fillId="0" borderId="16" xfId="0" applyFont="1" applyBorder="1" applyAlignment="1">
      <alignment horizontal="center" vertical="center" wrapText="1"/>
    </xf>
    <xf numFmtId="0" fontId="13" fillId="0" borderId="1" xfId="0" applyFont="1" applyBorder="1" applyAlignment="1">
      <alignment horizontal="left" vertical="center" wrapText="1"/>
    </xf>
    <xf numFmtId="164" fontId="13" fillId="0" borderId="1" xfId="0" applyNumberFormat="1" applyFont="1" applyBorder="1" applyAlignment="1">
      <alignment horizontal="right" vertical="center" wrapText="1"/>
    </xf>
    <xf numFmtId="164" fontId="15" fillId="0" borderId="1" xfId="0" applyNumberFormat="1" applyFont="1" applyBorder="1" applyAlignment="1">
      <alignment vertical="center"/>
    </xf>
    <xf numFmtId="164" fontId="15" fillId="0" borderId="27" xfId="0" applyNumberFormat="1" applyFont="1" applyBorder="1" applyAlignment="1">
      <alignment vertical="center"/>
    </xf>
    <xf numFmtId="171" fontId="0" fillId="0" borderId="0" xfId="0" applyNumberFormat="1" applyAlignment="1">
      <alignment vertical="center"/>
    </xf>
    <xf numFmtId="0" fontId="31" fillId="0" borderId="16" xfId="0" applyFont="1" applyBorder="1" applyAlignment="1">
      <alignment horizontal="center" vertical="center" wrapText="1"/>
    </xf>
    <xf numFmtId="164" fontId="33" fillId="0" borderId="1" xfId="0" applyNumberFormat="1" applyFont="1" applyBorder="1" applyAlignment="1">
      <alignment vertical="center"/>
    </xf>
    <xf numFmtId="164" fontId="33" fillId="0" borderId="27" xfId="0" applyNumberFormat="1" applyFont="1" applyBorder="1" applyAlignment="1">
      <alignment vertical="center"/>
    </xf>
    <xf numFmtId="164" fontId="37" fillId="0" borderId="0" xfId="0" applyNumberFormat="1" applyFont="1" applyAlignment="1">
      <alignment horizontal="center" vertical="center"/>
    </xf>
    <xf numFmtId="0" fontId="34" fillId="0" borderId="0" xfId="0" applyFont="1" applyAlignment="1">
      <alignment vertical="center"/>
    </xf>
    <xf numFmtId="164" fontId="34" fillId="0" borderId="0" xfId="0" applyNumberFormat="1" applyFont="1" applyAlignment="1">
      <alignment vertical="center"/>
    </xf>
    <xf numFmtId="0" fontId="67" fillId="0" borderId="1" xfId="0" applyFont="1" applyBorder="1" applyAlignment="1">
      <alignment horizontal="left" vertical="center" wrapText="1"/>
    </xf>
    <xf numFmtId="164" fontId="67" fillId="0" borderId="27" xfId="0" applyNumberFormat="1" applyFont="1" applyBorder="1" applyAlignment="1">
      <alignment horizontal="right" vertical="center" wrapText="1"/>
    </xf>
    <xf numFmtId="169" fontId="53" fillId="0" borderId="0" xfId="0" applyNumberFormat="1" applyFont="1" applyAlignment="1">
      <alignment horizontal="center" vertical="center"/>
    </xf>
    <xf numFmtId="0" fontId="54" fillId="0" borderId="0" xfId="0" applyFont="1" applyAlignment="1">
      <alignment vertical="center"/>
    </xf>
    <xf numFmtId="0" fontId="29" fillId="0" borderId="1" xfId="0" applyFont="1" applyBorder="1" applyAlignment="1">
      <alignment horizontal="left" vertical="center" wrapText="1"/>
    </xf>
    <xf numFmtId="4" fontId="43" fillId="0" borderId="0" xfId="0" applyNumberFormat="1" applyFont="1" applyAlignment="1">
      <alignment vertical="center"/>
    </xf>
    <xf numFmtId="0" fontId="43" fillId="0" borderId="0" xfId="0" applyFont="1" applyAlignment="1">
      <alignment vertical="center"/>
    </xf>
    <xf numFmtId="164" fontId="28" fillId="0" borderId="1" xfId="0" applyNumberFormat="1" applyFont="1" applyBorder="1" applyAlignment="1">
      <alignment vertical="center"/>
    </xf>
    <xf numFmtId="0" fontId="15" fillId="0" borderId="1" xfId="0" applyFont="1" applyBorder="1" applyAlignment="1">
      <alignment vertical="center" wrapText="1"/>
    </xf>
    <xf numFmtId="164" fontId="36" fillId="0" borderId="0" xfId="0" applyNumberFormat="1" applyFont="1" applyAlignment="1">
      <alignment horizontal="left" vertical="center"/>
    </xf>
    <xf numFmtId="164" fontId="0" fillId="0" borderId="0" xfId="0" applyNumberFormat="1" applyAlignment="1">
      <alignment horizontal="center" vertical="center"/>
    </xf>
    <xf numFmtId="0" fontId="29" fillId="0" borderId="1" xfId="0" applyFont="1" applyBorder="1" applyAlignment="1">
      <alignment vertical="center" wrapText="1"/>
    </xf>
    <xf numFmtId="164" fontId="36" fillId="0" borderId="0" xfId="0" applyNumberFormat="1" applyFont="1" applyAlignment="1">
      <alignment horizontal="right" vertical="center"/>
    </xf>
    <xf numFmtId="169" fontId="0" fillId="0" borderId="0" xfId="0" applyNumberFormat="1" applyAlignment="1">
      <alignment vertical="center"/>
    </xf>
    <xf numFmtId="165" fontId="0" fillId="0" borderId="0" xfId="0" applyNumberFormat="1" applyAlignment="1">
      <alignment vertical="center"/>
    </xf>
    <xf numFmtId="49" fontId="17" fillId="0" borderId="16" xfId="0" applyNumberFormat="1" applyFont="1" applyBorder="1" applyAlignment="1">
      <alignment horizontal="center" vertical="center" wrapText="1"/>
    </xf>
    <xf numFmtId="165" fontId="0" fillId="0" borderId="0" xfId="0" applyNumberFormat="1" applyAlignment="1">
      <alignment horizontal="center" vertical="center"/>
    </xf>
    <xf numFmtId="164" fontId="30" fillId="0" borderId="0" xfId="0" applyNumberFormat="1" applyFont="1" applyAlignment="1">
      <alignment horizontal="center" vertical="center"/>
    </xf>
    <xf numFmtId="169" fontId="30" fillId="0" borderId="0" xfId="0" applyNumberFormat="1" applyFont="1" applyAlignment="1">
      <alignment horizontal="center" vertical="center"/>
    </xf>
    <xf numFmtId="164" fontId="47" fillId="0" borderId="1" xfId="0" applyNumberFormat="1" applyFont="1" applyBorder="1" applyAlignment="1">
      <alignment vertical="center"/>
    </xf>
    <xf numFmtId="164" fontId="47" fillId="0" borderId="27" xfId="0" applyNumberFormat="1" applyFont="1" applyBorder="1" applyAlignment="1">
      <alignment vertical="center"/>
    </xf>
    <xf numFmtId="164" fontId="48" fillId="0" borderId="0" xfId="0" applyNumberFormat="1" applyFont="1" applyAlignment="1">
      <alignment horizontal="center" vertical="center"/>
    </xf>
    <xf numFmtId="164" fontId="49" fillId="0" borderId="0" xfId="0" applyNumberFormat="1" applyFont="1" applyAlignment="1">
      <alignment vertical="center"/>
    </xf>
    <xf numFmtId="0" fontId="49" fillId="0" borderId="0" xfId="0" applyFont="1" applyAlignment="1">
      <alignment vertical="center"/>
    </xf>
    <xf numFmtId="16" fontId="17" fillId="0" borderId="16" xfId="0" applyNumberFormat="1" applyFont="1" applyBorder="1" applyAlignment="1">
      <alignment horizontal="center" vertical="center" wrapText="1"/>
    </xf>
    <xf numFmtId="164" fontId="40" fillId="0" borderId="1" xfId="0" applyNumberFormat="1" applyFont="1" applyBorder="1" applyAlignment="1">
      <alignment horizontal="right" vertical="center" wrapText="1"/>
    </xf>
    <xf numFmtId="165" fontId="50" fillId="0" borderId="0" xfId="0" applyNumberFormat="1" applyFont="1" applyAlignment="1">
      <alignment vertical="center"/>
    </xf>
    <xf numFmtId="164" fontId="50" fillId="0" borderId="0" xfId="0" applyNumberFormat="1" applyFont="1" applyAlignment="1">
      <alignment vertical="center"/>
    </xf>
    <xf numFmtId="0" fontId="50" fillId="0" borderId="0" xfId="0" applyFont="1" applyAlignment="1">
      <alignment vertical="center"/>
    </xf>
    <xf numFmtId="169" fontId="36" fillId="0" borderId="0" xfId="0" applyNumberFormat="1" applyFont="1" applyAlignment="1">
      <alignment horizontal="center" vertical="center"/>
    </xf>
    <xf numFmtId="0" fontId="16" fillId="0" borderId="1" xfId="0" applyFont="1" applyBorder="1" applyAlignment="1">
      <alignment vertical="center" wrapText="1"/>
    </xf>
    <xf numFmtId="164" fontId="28" fillId="0" borderId="1" xfId="0" applyNumberFormat="1" applyFont="1" applyBorder="1" applyAlignment="1">
      <alignment horizontal="right" vertical="center" wrapText="1"/>
    </xf>
    <xf numFmtId="164" fontId="43" fillId="0" borderId="0" xfId="0" applyNumberFormat="1" applyFont="1" applyAlignment="1">
      <alignment vertical="center"/>
    </xf>
    <xf numFmtId="164" fontId="24" fillId="0" borderId="1" xfId="0" applyNumberFormat="1" applyFont="1" applyBorder="1" applyAlignment="1">
      <alignment horizontal="right" vertical="center"/>
    </xf>
    <xf numFmtId="164" fontId="24" fillId="0" borderId="27" xfId="0" applyNumberFormat="1" applyFont="1" applyBorder="1" applyAlignment="1">
      <alignment horizontal="right" vertical="center"/>
    </xf>
    <xf numFmtId="164" fontId="15" fillId="0" borderId="1" xfId="0" applyNumberFormat="1" applyFont="1" applyBorder="1" applyAlignment="1">
      <alignment horizontal="right" vertical="center" wrapText="1"/>
    </xf>
    <xf numFmtId="164" fontId="15" fillId="0" borderId="1" xfId="0" applyNumberFormat="1" applyFont="1" applyBorder="1" applyAlignment="1">
      <alignment horizontal="right" vertical="center"/>
    </xf>
    <xf numFmtId="164" fontId="15" fillId="0" borderId="27" xfId="0" applyNumberFormat="1" applyFont="1" applyBorder="1" applyAlignment="1">
      <alignment horizontal="right" vertical="center"/>
    </xf>
    <xf numFmtId="174" fontId="36" fillId="0" borderId="0" xfId="0" applyNumberFormat="1" applyFont="1" applyAlignment="1">
      <alignment horizontal="center" vertical="center"/>
    </xf>
    <xf numFmtId="164" fontId="15" fillId="0" borderId="27" xfId="0" applyNumberFormat="1" applyFont="1" applyBorder="1" applyAlignment="1">
      <alignment vertical="center" wrapText="1"/>
    </xf>
    <xf numFmtId="164" fontId="24" fillId="0" borderId="0" xfId="0" applyNumberFormat="1" applyFont="1" applyAlignment="1">
      <alignment horizontal="center" vertical="center"/>
    </xf>
    <xf numFmtId="164" fontId="15" fillId="0" borderId="27" xfId="0" applyNumberFormat="1" applyFont="1" applyBorder="1" applyAlignment="1">
      <alignment horizontal="right" vertical="center" wrapText="1"/>
    </xf>
    <xf numFmtId="0" fontId="62" fillId="0" borderId="1" xfId="0" applyFont="1" applyBorder="1" applyAlignment="1">
      <alignment vertical="center" wrapText="1"/>
    </xf>
    <xf numFmtId="164" fontId="62" fillId="0" borderId="1" xfId="0" applyNumberFormat="1" applyFont="1" applyBorder="1" applyAlignment="1">
      <alignment horizontal="right" vertical="center" wrapText="1"/>
    </xf>
    <xf numFmtId="164" fontId="56" fillId="0" borderId="0" xfId="0" applyNumberFormat="1" applyFont="1" applyAlignment="1">
      <alignment horizontal="center" vertical="center"/>
    </xf>
    <xf numFmtId="164" fontId="36" fillId="0" borderId="0" xfId="0" applyNumberFormat="1" applyFont="1" applyAlignment="1">
      <alignment horizontal="center"/>
    </xf>
    <xf numFmtId="0" fontId="0" fillId="0" borderId="0" xfId="0" applyAlignment="1">
      <alignment horizontal="center"/>
    </xf>
    <xf numFmtId="0" fontId="61" fillId="0" borderId="1" xfId="0" applyFont="1" applyBorder="1" applyAlignment="1">
      <alignment vertical="center" wrapText="1"/>
    </xf>
    <xf numFmtId="0" fontId="55" fillId="0" borderId="1" xfId="0" applyFont="1" applyBorder="1" applyAlignment="1">
      <alignment vertical="center" wrapText="1"/>
    </xf>
    <xf numFmtId="164" fontId="55" fillId="0" borderId="1" xfId="0" applyNumberFormat="1" applyFont="1" applyBorder="1" applyAlignment="1">
      <alignment horizontal="right" vertical="center" wrapText="1"/>
    </xf>
    <xf numFmtId="164" fontId="55" fillId="0" borderId="1" xfId="0" applyNumberFormat="1" applyFont="1" applyBorder="1" applyAlignment="1">
      <alignment vertical="center"/>
    </xf>
    <xf numFmtId="164" fontId="55" fillId="0" borderId="27" xfId="0" applyNumberFormat="1" applyFont="1" applyBorder="1" applyAlignment="1">
      <alignment horizontal="right" vertical="center" wrapText="1"/>
    </xf>
    <xf numFmtId="164" fontId="56" fillId="0" borderId="0" xfId="0" applyNumberFormat="1" applyFont="1" applyAlignment="1">
      <alignment horizontal="center" vertical="center" wrapText="1"/>
    </xf>
    <xf numFmtId="164" fontId="57" fillId="0" borderId="0" xfId="0" applyNumberFormat="1" applyFont="1" applyAlignment="1">
      <alignment vertical="center"/>
    </xf>
    <xf numFmtId="0" fontId="57" fillId="0" borderId="0" xfId="0" applyFont="1" applyAlignment="1">
      <alignment vertical="center"/>
    </xf>
    <xf numFmtId="164" fontId="13" fillId="0" borderId="27" xfId="0" applyNumberFormat="1" applyFont="1" applyBorder="1" applyAlignment="1">
      <alignment horizontal="right" vertical="center" wrapText="1"/>
    </xf>
    <xf numFmtId="171" fontId="42" fillId="0" borderId="0" xfId="0" applyNumberFormat="1" applyFont="1" applyAlignment="1">
      <alignment horizontal="center" vertical="center"/>
    </xf>
    <xf numFmtId="17" fontId="17" fillId="0" borderId="16" xfId="0" applyNumberFormat="1" applyFont="1" applyBorder="1" applyAlignment="1">
      <alignment horizontal="center" vertical="center" wrapText="1"/>
    </xf>
    <xf numFmtId="0" fontId="24" fillId="0" borderId="1" xfId="0" applyFont="1" applyBorder="1" applyAlignment="1">
      <alignment vertical="center" wrapText="1"/>
    </xf>
    <xf numFmtId="164" fontId="24" fillId="0" borderId="1" xfId="0" applyNumberFormat="1" applyFont="1" applyBorder="1" applyAlignment="1">
      <alignment horizontal="right" vertical="center" wrapText="1"/>
    </xf>
    <xf numFmtId="164" fontId="14" fillId="0" borderId="1" xfId="0" applyNumberFormat="1" applyFont="1" applyBorder="1" applyAlignment="1">
      <alignment horizontal="right" vertical="center"/>
    </xf>
    <xf numFmtId="164" fontId="24" fillId="0" borderId="27" xfId="0" applyNumberFormat="1" applyFont="1" applyBorder="1" applyAlignment="1">
      <alignment horizontal="right" vertical="center" wrapText="1"/>
    </xf>
    <xf numFmtId="0" fontId="11" fillId="0" borderId="1" xfId="0" applyFont="1" applyBorder="1" applyAlignment="1">
      <alignment vertical="center" wrapText="1"/>
    </xf>
    <xf numFmtId="164" fontId="14" fillId="0" borderId="1" xfId="0" applyNumberFormat="1" applyFont="1" applyBorder="1" applyAlignment="1">
      <alignment horizontal="right" vertical="center" wrapText="1"/>
    </xf>
    <xf numFmtId="164" fontId="14" fillId="0" borderId="27" xfId="0" applyNumberFormat="1" applyFont="1" applyBorder="1" applyAlignment="1">
      <alignment horizontal="right" vertical="center" wrapText="1"/>
    </xf>
    <xf numFmtId="0" fontId="52" fillId="0" borderId="0" xfId="0" applyFont="1" applyAlignment="1">
      <alignment vertical="center"/>
    </xf>
    <xf numFmtId="0" fontId="63" fillId="0" borderId="1" xfId="0" applyFont="1" applyBorder="1" applyAlignment="1">
      <alignment vertical="center" wrapText="1"/>
    </xf>
    <xf numFmtId="164" fontId="64" fillId="0" borderId="1" xfId="0" applyNumberFormat="1" applyFont="1" applyBorder="1" applyAlignment="1">
      <alignment horizontal="right" vertical="center" wrapText="1"/>
    </xf>
    <xf numFmtId="164" fontId="64" fillId="0" borderId="1" xfId="0" applyNumberFormat="1" applyFont="1" applyBorder="1" applyAlignment="1">
      <alignment vertical="center"/>
    </xf>
    <xf numFmtId="164" fontId="64" fillId="0" borderId="27" xfId="0" applyNumberFormat="1" applyFont="1" applyBorder="1" applyAlignment="1">
      <alignment horizontal="right" vertical="center" wrapText="1"/>
    </xf>
    <xf numFmtId="164" fontId="65" fillId="0" borderId="0" xfId="0" applyNumberFormat="1" applyFont="1" applyAlignment="1">
      <alignment horizontal="center" vertical="center"/>
    </xf>
    <xf numFmtId="0" fontId="66" fillId="0" borderId="0" xfId="0" applyFont="1" applyAlignment="1">
      <alignment vertical="center"/>
    </xf>
    <xf numFmtId="164" fontId="66" fillId="0" borderId="0" xfId="0" applyNumberFormat="1" applyFont="1" applyAlignment="1">
      <alignment vertical="center"/>
    </xf>
    <xf numFmtId="164" fontId="28" fillId="0" borderId="27" xfId="0" applyNumberFormat="1" applyFont="1" applyBorder="1" applyAlignment="1">
      <alignment horizontal="right" vertical="center" wrapText="1"/>
    </xf>
    <xf numFmtId="0" fontId="30" fillId="0" borderId="16" xfId="0" applyFont="1" applyBorder="1" applyAlignment="1">
      <alignment horizontal="center" vertical="center"/>
    </xf>
    <xf numFmtId="164" fontId="14" fillId="0" borderId="27" xfId="0" applyNumberFormat="1" applyFont="1" applyBorder="1" applyAlignment="1">
      <alignment vertical="center"/>
    </xf>
    <xf numFmtId="4" fontId="36" fillId="0" borderId="0" xfId="0" applyNumberFormat="1" applyFont="1" applyAlignment="1">
      <alignment horizontal="center" vertical="center"/>
    </xf>
    <xf numFmtId="164" fontId="33" fillId="0" borderId="1" xfId="0" applyNumberFormat="1" applyFont="1" applyBorder="1" applyAlignment="1">
      <alignment horizontal="right" vertical="center"/>
    </xf>
    <xf numFmtId="166" fontId="36" fillId="0" borderId="0" xfId="0" applyNumberFormat="1" applyFont="1" applyAlignment="1">
      <alignment horizontal="center" vertical="center"/>
    </xf>
    <xf numFmtId="170" fontId="0" fillId="0" borderId="0" xfId="0" applyNumberFormat="1" applyAlignment="1">
      <alignment horizontal="center" vertical="center"/>
    </xf>
    <xf numFmtId="171" fontId="36" fillId="0" borderId="0" xfId="0" applyNumberFormat="1" applyFont="1" applyAlignment="1">
      <alignment horizontal="center" vertical="center"/>
    </xf>
    <xf numFmtId="0" fontId="69" fillId="0" borderId="16" xfId="0" applyFont="1" applyBorder="1" applyAlignment="1">
      <alignment horizontal="center" vertical="center" wrapText="1"/>
    </xf>
    <xf numFmtId="164" fontId="67" fillId="0" borderId="1" xfId="0" applyNumberFormat="1" applyFont="1" applyBorder="1" applyAlignment="1">
      <alignment horizontal="right" vertical="center" wrapText="1"/>
    </xf>
    <xf numFmtId="164" fontId="67" fillId="0" borderId="1" xfId="0" applyNumberFormat="1" applyFont="1" applyBorder="1" applyAlignment="1">
      <alignment horizontal="right" vertical="center"/>
    </xf>
    <xf numFmtId="164" fontId="67" fillId="0" borderId="1" xfId="0" applyNumberFormat="1" applyFont="1" applyBorder="1" applyAlignment="1">
      <alignment vertical="center"/>
    </xf>
    <xf numFmtId="164" fontId="67" fillId="0" borderId="27" xfId="0" applyNumberFormat="1" applyFont="1" applyBorder="1" applyAlignment="1">
      <alignment vertical="center"/>
    </xf>
    <xf numFmtId="0" fontId="67" fillId="0" borderId="1" xfId="0" applyFont="1" applyBorder="1" applyAlignment="1">
      <alignment wrapText="1"/>
    </xf>
    <xf numFmtId="170" fontId="43" fillId="0" borderId="0" xfId="0" applyNumberFormat="1" applyFont="1" applyAlignment="1">
      <alignment vertical="center"/>
    </xf>
    <xf numFmtId="164" fontId="73" fillId="0" borderId="0" xfId="0" applyNumberFormat="1" applyFont="1" applyAlignment="1">
      <alignment horizontal="center" vertical="center"/>
    </xf>
    <xf numFmtId="164" fontId="73" fillId="0" borderId="0" xfId="0" applyNumberFormat="1" applyFont="1" applyAlignment="1">
      <alignment horizontal="left" vertical="center"/>
    </xf>
    <xf numFmtId="170" fontId="36" fillId="0" borderId="0" xfId="0" applyNumberFormat="1" applyFont="1" applyAlignment="1">
      <alignment horizontal="center" vertical="center"/>
    </xf>
    <xf numFmtId="164" fontId="14" fillId="0" borderId="27" xfId="0" applyNumberFormat="1" applyFont="1" applyBorder="1" applyAlignment="1">
      <alignment horizontal="right" vertical="center"/>
    </xf>
    <xf numFmtId="0" fontId="7" fillId="0" borderId="16" xfId="0" applyFont="1" applyBorder="1" applyAlignment="1">
      <alignment horizontal="center" vertical="center"/>
    </xf>
    <xf numFmtId="164" fontId="13" fillId="0" borderId="27" xfId="0" applyNumberFormat="1" applyFont="1" applyBorder="1" applyAlignment="1">
      <alignment horizontal="right" vertical="center"/>
    </xf>
    <xf numFmtId="164" fontId="28" fillId="0" borderId="27" xfId="0" applyNumberFormat="1" applyFont="1" applyBorder="1" applyAlignment="1">
      <alignment horizontal="right" vertical="center"/>
    </xf>
    <xf numFmtId="164" fontId="59" fillId="0" borderId="0" xfId="0" applyNumberFormat="1" applyFont="1" applyAlignment="1">
      <alignment horizontal="center" vertical="center"/>
    </xf>
    <xf numFmtId="164" fontId="42" fillId="0" borderId="0" xfId="0" applyNumberFormat="1" applyFont="1" applyAlignment="1">
      <alignment horizontal="center" vertical="center" wrapText="1"/>
    </xf>
    <xf numFmtId="171" fontId="43" fillId="0" borderId="0" xfId="0" applyNumberFormat="1" applyFont="1" applyAlignment="1">
      <alignment vertical="center"/>
    </xf>
    <xf numFmtId="0" fontId="10" fillId="0" borderId="1" xfId="0" applyFont="1" applyBorder="1" applyAlignment="1">
      <alignment wrapText="1"/>
    </xf>
    <xf numFmtId="164" fontId="38" fillId="0" borderId="0" xfId="0" applyNumberFormat="1" applyFont="1" applyAlignment="1">
      <alignment horizontal="right" vertical="center"/>
    </xf>
    <xf numFmtId="164" fontId="70" fillId="0" borderId="0" xfId="0" applyNumberFormat="1" applyFont="1" applyAlignment="1">
      <alignment horizontal="right" vertical="center"/>
    </xf>
    <xf numFmtId="16" fontId="0" fillId="0" borderId="16" xfId="0" applyNumberFormat="1" applyBorder="1" applyAlignment="1">
      <alignment horizontal="center" vertical="center"/>
    </xf>
    <xf numFmtId="164" fontId="68" fillId="0" borderId="0" xfId="0" applyNumberFormat="1" applyFont="1" applyAlignment="1">
      <alignment horizontal="center" vertical="center"/>
    </xf>
    <xf numFmtId="0" fontId="52" fillId="0" borderId="16" xfId="0" applyFont="1" applyBorder="1" applyAlignment="1">
      <alignment horizontal="center" vertical="center"/>
    </xf>
    <xf numFmtId="164" fontId="72" fillId="0" borderId="0" xfId="0" applyNumberFormat="1" applyFont="1" applyAlignment="1">
      <alignment horizontal="center" vertical="center"/>
    </xf>
    <xf numFmtId="164" fontId="52" fillId="0" borderId="0" xfId="0" applyNumberFormat="1" applyFont="1" applyAlignment="1">
      <alignment vertical="center"/>
    </xf>
    <xf numFmtId="0" fontId="3" fillId="0" borderId="16" xfId="0" applyFont="1" applyBorder="1" applyAlignment="1">
      <alignment horizontal="center" vertical="center"/>
    </xf>
    <xf numFmtId="0" fontId="3" fillId="0" borderId="0" xfId="0" applyFont="1" applyAlignment="1">
      <alignment vertical="center"/>
    </xf>
    <xf numFmtId="164" fontId="3" fillId="0" borderId="0" xfId="0" applyNumberFormat="1" applyFont="1" applyAlignment="1">
      <alignment vertical="center"/>
    </xf>
    <xf numFmtId="164" fontId="30" fillId="0" borderId="0" xfId="0" applyNumberFormat="1" applyFont="1" applyAlignment="1">
      <alignment vertical="center"/>
    </xf>
    <xf numFmtId="164" fontId="82" fillId="0" borderId="0" xfId="0" applyNumberFormat="1" applyFont="1" applyAlignment="1">
      <alignment horizontal="center" vertical="center"/>
    </xf>
    <xf numFmtId="0" fontId="71" fillId="0" borderId="0" xfId="0" applyFont="1" applyAlignment="1">
      <alignment vertical="center"/>
    </xf>
    <xf numFmtId="168" fontId="0" fillId="0" borderId="0" xfId="0" applyNumberFormat="1" applyAlignment="1">
      <alignment vertical="center"/>
    </xf>
    <xf numFmtId="3" fontId="75" fillId="0" borderId="0" xfId="0" applyNumberFormat="1" applyFont="1" applyAlignment="1">
      <alignment horizontal="center" vertical="center"/>
    </xf>
    <xf numFmtId="3" fontId="18" fillId="0" borderId="0" xfId="0" applyNumberFormat="1" applyFont="1" applyAlignment="1">
      <alignment horizontal="center" vertical="center"/>
    </xf>
    <xf numFmtId="164" fontId="18" fillId="0" borderId="0" xfId="0" applyNumberFormat="1" applyFont="1" applyAlignment="1">
      <alignment horizontal="center" vertical="center"/>
    </xf>
    <xf numFmtId="164" fontId="44" fillId="6" borderId="0" xfId="0" applyNumberFormat="1" applyFont="1" applyFill="1" applyAlignment="1">
      <alignment vertical="center"/>
    </xf>
    <xf numFmtId="164" fontId="0" fillId="6" borderId="0" xfId="0" applyNumberFormat="1" applyFill="1" applyAlignment="1">
      <alignment vertical="center"/>
    </xf>
    <xf numFmtId="164" fontId="17" fillId="6" borderId="0" xfId="0" applyNumberFormat="1" applyFont="1" applyFill="1" applyAlignment="1">
      <alignment vertical="center"/>
    </xf>
    <xf numFmtId="164" fontId="11" fillId="6" borderId="21" xfId="0" applyNumberFormat="1" applyFont="1" applyFill="1" applyBorder="1" applyAlignment="1">
      <alignment horizontal="center" vertical="center"/>
    </xf>
    <xf numFmtId="1" fontId="20" fillId="6" borderId="21" xfId="0" applyNumberFormat="1" applyFont="1" applyFill="1" applyBorder="1" applyAlignment="1">
      <alignment horizontal="center" vertical="center"/>
    </xf>
    <xf numFmtId="164" fontId="11" fillId="6" borderId="3" xfId="0" applyNumberFormat="1" applyFont="1" applyFill="1" applyBorder="1" applyAlignment="1">
      <alignment vertical="center"/>
    </xf>
    <xf numFmtId="164" fontId="10" fillId="6" borderId="1" xfId="0" applyNumberFormat="1" applyFont="1" applyFill="1" applyBorder="1" applyAlignment="1">
      <alignment horizontal="right" vertical="center"/>
    </xf>
    <xf numFmtId="164" fontId="10" fillId="6" borderId="8" xfId="0" applyNumberFormat="1" applyFont="1" applyFill="1" applyBorder="1" applyAlignment="1">
      <alignment vertical="center"/>
    </xf>
    <xf numFmtId="164" fontId="11" fillId="6" borderId="11" xfId="0" applyNumberFormat="1" applyFont="1" applyFill="1" applyBorder="1" applyAlignment="1">
      <alignment vertical="center"/>
    </xf>
    <xf numFmtId="164" fontId="10" fillId="6" borderId="5" xfId="0" applyNumberFormat="1" applyFont="1" applyFill="1" applyBorder="1" applyAlignment="1">
      <alignment horizontal="right" vertical="center" wrapText="1"/>
    </xf>
    <xf numFmtId="164" fontId="10" fillId="6" borderId="1" xfId="0" applyNumberFormat="1" applyFont="1" applyFill="1" applyBorder="1" applyAlignment="1">
      <alignment horizontal="right" vertical="center" wrapText="1"/>
    </xf>
    <xf numFmtId="164" fontId="10" fillId="6" borderId="10" xfId="0" applyNumberFormat="1" applyFont="1" applyFill="1" applyBorder="1" applyAlignment="1">
      <alignment horizontal="right" vertical="center" wrapText="1"/>
    </xf>
    <xf numFmtId="164" fontId="10" fillId="6" borderId="10" xfId="0" applyNumberFormat="1" applyFont="1" applyFill="1" applyBorder="1" applyAlignment="1">
      <alignment vertical="center"/>
    </xf>
    <xf numFmtId="164" fontId="10" fillId="6" borderId="1" xfId="0" applyNumberFormat="1" applyFont="1" applyFill="1" applyBorder="1" applyAlignment="1">
      <alignment vertical="center"/>
    </xf>
    <xf numFmtId="164" fontId="10" fillId="6" borderId="11" xfId="0" applyNumberFormat="1" applyFont="1" applyFill="1" applyBorder="1" applyAlignment="1">
      <alignment vertical="center"/>
    </xf>
    <xf numFmtId="164" fontId="10" fillId="6" borderId="0" xfId="0" applyNumberFormat="1" applyFont="1" applyFill="1" applyAlignment="1">
      <alignment vertical="center"/>
    </xf>
    <xf numFmtId="164" fontId="10" fillId="6" borderId="11" xfId="0" applyNumberFormat="1" applyFont="1" applyFill="1" applyBorder="1" applyAlignment="1">
      <alignment horizontal="right" vertical="center" wrapText="1"/>
    </xf>
    <xf numFmtId="164" fontId="13" fillId="6" borderId="11" xfId="0" applyNumberFormat="1" applyFont="1" applyFill="1" applyBorder="1" applyAlignment="1">
      <alignment vertical="center"/>
    </xf>
    <xf numFmtId="164" fontId="10" fillId="6" borderId="1" xfId="0" applyNumberFormat="1" applyFont="1" applyFill="1" applyBorder="1" applyAlignment="1">
      <alignment vertical="center" wrapText="1"/>
    </xf>
    <xf numFmtId="164" fontId="10" fillId="6" borderId="3" xfId="0" applyNumberFormat="1" applyFont="1" applyFill="1" applyBorder="1" applyAlignment="1">
      <alignment vertical="center"/>
    </xf>
    <xf numFmtId="164" fontId="10" fillId="6" borderId="6" xfId="0" applyNumberFormat="1" applyFont="1" applyFill="1" applyBorder="1" applyAlignment="1">
      <alignment vertical="center"/>
    </xf>
    <xf numFmtId="164" fontId="10" fillId="6" borderId="7" xfId="0" applyNumberFormat="1" applyFont="1" applyFill="1" applyBorder="1" applyAlignment="1">
      <alignment vertical="center"/>
    </xf>
    <xf numFmtId="164" fontId="10" fillId="6" borderId="9" xfId="0" applyNumberFormat="1" applyFont="1" applyFill="1" applyBorder="1" applyAlignment="1">
      <alignment vertical="center"/>
    </xf>
    <xf numFmtId="164" fontId="11" fillId="6" borderId="7" xfId="0" applyNumberFormat="1" applyFont="1" applyFill="1" applyBorder="1" applyAlignment="1">
      <alignment vertical="center"/>
    </xf>
    <xf numFmtId="164" fontId="10" fillId="6" borderId="2" xfId="0" applyNumberFormat="1" applyFont="1" applyFill="1" applyBorder="1" applyAlignment="1">
      <alignment vertical="center"/>
    </xf>
    <xf numFmtId="164" fontId="10" fillId="6" borderId="5" xfId="0" applyNumberFormat="1" applyFont="1" applyFill="1" applyBorder="1" applyAlignment="1">
      <alignment vertical="center"/>
    </xf>
    <xf numFmtId="0" fontId="10" fillId="6" borderId="16" xfId="0" applyFont="1" applyFill="1" applyBorder="1" applyAlignment="1">
      <alignment horizontal="left" vertical="center" wrapText="1"/>
    </xf>
    <xf numFmtId="0" fontId="10" fillId="6" borderId="1" xfId="0" applyFont="1" applyFill="1" applyBorder="1" applyAlignment="1">
      <alignment vertical="center"/>
    </xf>
    <xf numFmtId="3" fontId="10" fillId="6" borderId="4" xfId="0" applyNumberFormat="1" applyFont="1" applyFill="1" applyBorder="1" applyAlignment="1">
      <alignment vertical="center"/>
    </xf>
    <xf numFmtId="3" fontId="10" fillId="6" borderId="24" xfId="0" applyNumberFormat="1" applyFont="1" applyFill="1" applyBorder="1" applyAlignment="1">
      <alignment vertical="center"/>
    </xf>
    <xf numFmtId="166" fontId="10" fillId="6" borderId="11" xfId="0" applyNumberFormat="1" applyFont="1" applyFill="1" applyBorder="1" applyAlignment="1">
      <alignment horizontal="right" vertical="center"/>
    </xf>
    <xf numFmtId="164" fontId="10" fillId="6" borderId="29" xfId="0" applyNumberFormat="1" applyFont="1" applyFill="1" applyBorder="1" applyAlignment="1">
      <alignment vertical="center"/>
    </xf>
    <xf numFmtId="164" fontId="10" fillId="6" borderId="0" xfId="0" applyNumberFormat="1" applyFont="1" applyFill="1" applyAlignment="1">
      <alignment horizontal="center" vertical="center"/>
    </xf>
    <xf numFmtId="0" fontId="10" fillId="6" borderId="0" xfId="0" applyFont="1" applyFill="1" applyAlignment="1">
      <alignment vertical="center"/>
    </xf>
    <xf numFmtId="169" fontId="30" fillId="0" borderId="0" xfId="0" applyNumberFormat="1" applyFont="1" applyAlignment="1">
      <alignment vertical="center"/>
    </xf>
    <xf numFmtId="164" fontId="71" fillId="0" borderId="0" xfId="0" applyNumberFormat="1" applyFont="1" applyAlignment="1">
      <alignment horizontal="center" vertical="center"/>
    </xf>
    <xf numFmtId="3" fontId="0" fillId="0" borderId="0" xfId="0" applyNumberFormat="1" applyAlignment="1">
      <alignment horizontal="left" vertical="center"/>
    </xf>
    <xf numFmtId="0" fontId="16" fillId="6" borderId="16" xfId="0" applyFont="1" applyFill="1" applyBorder="1" applyAlignment="1">
      <alignment horizontal="left" vertical="center" wrapText="1"/>
    </xf>
    <xf numFmtId="3" fontId="10" fillId="6" borderId="24" xfId="0" applyNumberFormat="1" applyFont="1" applyFill="1" applyBorder="1" applyAlignment="1">
      <alignment horizontal="right" vertical="center"/>
    </xf>
    <xf numFmtId="0" fontId="10" fillId="6" borderId="1" xfId="0" applyFont="1" applyFill="1" applyBorder="1" applyAlignment="1">
      <alignment vertical="center" wrapText="1"/>
    </xf>
    <xf numFmtId="0" fontId="10" fillId="6" borderId="16" xfId="0" applyFont="1" applyFill="1" applyBorder="1" applyAlignment="1">
      <alignment vertical="center" wrapText="1"/>
    </xf>
    <xf numFmtId="0" fontId="10" fillId="6" borderId="5" xfId="0" applyFont="1" applyFill="1" applyBorder="1" applyAlignment="1">
      <alignment horizontal="left" vertical="center" wrapText="1"/>
    </xf>
    <xf numFmtId="49" fontId="0" fillId="0" borderId="16" xfId="0" applyNumberFormat="1" applyBorder="1" applyAlignment="1">
      <alignment horizontal="center" vertical="center"/>
    </xf>
    <xf numFmtId="164" fontId="24" fillId="0" borderId="27" xfId="0" applyNumberFormat="1" applyFont="1" applyBorder="1" applyAlignment="1">
      <alignment vertical="center"/>
    </xf>
    <xf numFmtId="166" fontId="15" fillId="0" borderId="27" xfId="0" applyNumberFormat="1" applyFont="1" applyBorder="1" applyAlignment="1">
      <alignment vertical="center"/>
    </xf>
    <xf numFmtId="3" fontId="10" fillId="0" borderId="0" xfId="0" applyNumberFormat="1" applyFont="1" applyAlignment="1">
      <alignment vertical="center"/>
    </xf>
    <xf numFmtId="164" fontId="36" fillId="4" borderId="0" xfId="0" applyNumberFormat="1" applyFont="1" applyFill="1" applyAlignment="1">
      <alignment horizontal="center" vertical="center"/>
    </xf>
    <xf numFmtId="0" fontId="16" fillId="6" borderId="1" xfId="0" applyFont="1" applyFill="1" applyBorder="1" applyAlignment="1">
      <alignment vertical="center" wrapText="1"/>
    </xf>
    <xf numFmtId="0" fontId="10" fillId="6" borderId="1" xfId="0" applyFont="1" applyFill="1" applyBorder="1" applyAlignment="1" applyProtection="1">
      <alignment vertical="center" wrapText="1"/>
      <protection locked="0"/>
    </xf>
    <xf numFmtId="164" fontId="13" fillId="0" borderId="1" xfId="0" applyNumberFormat="1" applyFont="1" applyBorder="1" applyAlignment="1" applyProtection="1">
      <alignment vertical="center"/>
      <protection locked="0"/>
    </xf>
    <xf numFmtId="164" fontId="13" fillId="0" borderId="27" xfId="0" applyNumberFormat="1" applyFont="1" applyBorder="1" applyAlignment="1" applyProtection="1">
      <alignment vertical="center"/>
      <protection locked="0"/>
    </xf>
    <xf numFmtId="0" fontId="29" fillId="6" borderId="1" xfId="0" applyFont="1" applyFill="1" applyBorder="1" applyAlignment="1">
      <alignment vertical="center" wrapText="1"/>
    </xf>
    <xf numFmtId="0" fontId="29" fillId="8" borderId="1" xfId="0" applyFont="1" applyFill="1" applyBorder="1" applyAlignment="1">
      <alignment horizontal="center" vertical="center"/>
    </xf>
    <xf numFmtId="0" fontId="29" fillId="8" borderId="1" xfId="0" applyFont="1" applyFill="1" applyBorder="1" applyAlignment="1">
      <alignment horizontal="left" vertical="center" wrapText="1"/>
    </xf>
    <xf numFmtId="4" fontId="29" fillId="8" borderId="1" xfId="0" applyNumberFormat="1" applyFont="1" applyFill="1" applyBorder="1" applyAlignment="1">
      <alignment vertical="center"/>
    </xf>
    <xf numFmtId="0" fontId="29" fillId="8" borderId="1" xfId="0" applyFont="1" applyFill="1" applyBorder="1" applyAlignment="1">
      <alignment vertical="center"/>
    </xf>
    <xf numFmtId="4" fontId="29" fillId="8" borderId="4" xfId="0" applyNumberFormat="1" applyFont="1" applyFill="1" applyBorder="1" applyAlignment="1">
      <alignment vertical="center"/>
    </xf>
    <xf numFmtId="0" fontId="29" fillId="2" borderId="1" xfId="0" applyFont="1" applyFill="1" applyBorder="1" applyAlignment="1">
      <alignment horizontal="center" vertical="center"/>
    </xf>
    <xf numFmtId="0" fontId="29" fillId="2" borderId="1" xfId="0" applyFont="1" applyFill="1" applyBorder="1" applyAlignment="1">
      <alignment vertical="center" wrapText="1"/>
    </xf>
    <xf numFmtId="0" fontId="29" fillId="2" borderId="1" xfId="0" applyFont="1" applyFill="1" applyBorder="1" applyAlignment="1">
      <alignment horizontal="left" vertical="center" wrapText="1"/>
    </xf>
    <xf numFmtId="4" fontId="29" fillId="2" borderId="4" xfId="0" applyNumberFormat="1" applyFont="1" applyFill="1" applyBorder="1" applyAlignment="1">
      <alignment vertical="center"/>
    </xf>
    <xf numFmtId="0" fontId="29" fillId="2" borderId="1" xfId="0" applyFont="1" applyFill="1" applyBorder="1" applyAlignment="1">
      <alignment vertical="center"/>
    </xf>
    <xf numFmtId="0" fontId="83" fillId="2" borderId="1" xfId="0" applyFont="1" applyFill="1" applyBorder="1" applyAlignment="1">
      <alignment horizontal="center" vertical="center"/>
    </xf>
    <xf numFmtId="0" fontId="83" fillId="2" borderId="1" xfId="0" applyFont="1" applyFill="1" applyBorder="1" applyAlignment="1">
      <alignment vertical="center" wrapText="1"/>
    </xf>
    <xf numFmtId="0" fontId="83" fillId="2" borderId="1" xfId="0" applyFont="1" applyFill="1" applyBorder="1" applyAlignment="1">
      <alignment horizontal="left" vertical="center" wrapText="1"/>
    </xf>
    <xf numFmtId="0" fontId="83" fillId="2" borderId="1" xfId="0" applyFont="1" applyFill="1" applyBorder="1" applyAlignment="1">
      <alignment vertical="center"/>
    </xf>
    <xf numFmtId="4" fontId="83" fillId="8" borderId="4" xfId="0" applyNumberFormat="1" applyFont="1" applyFill="1" applyBorder="1" applyAlignment="1">
      <alignment vertical="center"/>
    </xf>
    <xf numFmtId="164" fontId="10" fillId="6" borderId="22" xfId="0" applyNumberFormat="1" applyFont="1" applyFill="1" applyBorder="1" applyAlignment="1">
      <alignment vertical="center"/>
    </xf>
    <xf numFmtId="0" fontId="0" fillId="0" borderId="30" xfId="0" applyBorder="1" applyAlignment="1">
      <alignment horizontal="center" vertical="center"/>
    </xf>
    <xf numFmtId="0" fontId="10" fillId="6" borderId="2" xfId="0" applyFont="1" applyFill="1" applyBorder="1" applyAlignment="1">
      <alignment vertical="center" wrapText="1"/>
    </xf>
    <xf numFmtId="0" fontId="0" fillId="0" borderId="24" xfId="0" applyBorder="1" applyAlignment="1">
      <alignment horizontal="center" vertical="center"/>
    </xf>
    <xf numFmtId="0" fontId="10" fillId="0" borderId="3" xfId="0" applyFont="1" applyBorder="1" applyAlignment="1">
      <alignment vertical="center" wrapText="1"/>
    </xf>
    <xf numFmtId="0" fontId="0" fillId="0" borderId="1" xfId="0" applyBorder="1" applyAlignment="1">
      <alignment horizontal="center" vertical="center"/>
    </xf>
    <xf numFmtId="0" fontId="16" fillId="6" borderId="1" xfId="0" applyFont="1" applyFill="1" applyBorder="1" applyAlignment="1">
      <alignment horizontal="left" vertical="center" wrapText="1"/>
    </xf>
    <xf numFmtId="164" fontId="72" fillId="4" borderId="0" xfId="0" applyNumberFormat="1" applyFont="1" applyFill="1" applyAlignment="1">
      <alignment horizontal="center" vertical="center"/>
    </xf>
    <xf numFmtId="0" fontId="11" fillId="6" borderId="24" xfId="0" applyFont="1" applyFill="1" applyBorder="1" applyAlignment="1">
      <alignment vertical="center" wrapText="1"/>
    </xf>
    <xf numFmtId="164" fontId="11" fillId="6" borderId="19" xfId="0" applyNumberFormat="1" applyFont="1" applyFill="1" applyBorder="1" applyAlignment="1">
      <alignment horizontal="center" vertical="center"/>
    </xf>
    <xf numFmtId="164" fontId="11" fillId="6" borderId="25" xfId="0" applyNumberFormat="1" applyFont="1" applyFill="1" applyBorder="1" applyAlignment="1">
      <alignment vertical="center"/>
    </xf>
    <xf numFmtId="0" fontId="11" fillId="6" borderId="16" xfId="0" applyFont="1" applyFill="1" applyBorder="1" applyAlignment="1">
      <alignment vertical="center" wrapText="1"/>
    </xf>
    <xf numFmtId="164" fontId="10" fillId="6" borderId="3" xfId="0" applyNumberFormat="1" applyFont="1" applyFill="1" applyBorder="1" applyAlignment="1">
      <alignment horizontal="center" vertical="center"/>
    </xf>
    <xf numFmtId="164" fontId="11" fillId="6" borderId="1" xfId="0" applyNumberFormat="1" applyFont="1" applyFill="1" applyBorder="1" applyAlignment="1">
      <alignment horizontal="right" vertical="center"/>
    </xf>
    <xf numFmtId="164" fontId="10" fillId="6" borderId="27" xfId="0" applyNumberFormat="1" applyFont="1" applyFill="1" applyBorder="1" applyAlignment="1">
      <alignment horizontal="right" vertical="center"/>
    </xf>
    <xf numFmtId="0" fontId="11" fillId="6" borderId="46" xfId="0" applyFont="1" applyFill="1" applyBorder="1" applyAlignment="1">
      <alignment vertical="center" wrapText="1"/>
    </xf>
    <xf numFmtId="0" fontId="10" fillId="6" borderId="6" xfId="0" applyFont="1" applyFill="1" applyBorder="1" applyAlignment="1">
      <alignment vertical="center"/>
    </xf>
    <xf numFmtId="164" fontId="10" fillId="6" borderId="28" xfId="0" applyNumberFormat="1" applyFont="1" applyFill="1" applyBorder="1" applyAlignment="1">
      <alignment vertical="center"/>
    </xf>
    <xf numFmtId="0" fontId="11" fillId="6" borderId="45" xfId="0" applyFont="1" applyFill="1" applyBorder="1" applyAlignment="1">
      <alignment vertical="center" wrapText="1"/>
    </xf>
    <xf numFmtId="0" fontId="10" fillId="6" borderId="7" xfId="0" applyFont="1" applyFill="1" applyBorder="1" applyAlignment="1">
      <alignment horizontal="center" vertical="center"/>
    </xf>
    <xf numFmtId="164" fontId="11" fillId="6" borderId="29" xfId="0" applyNumberFormat="1" applyFont="1" applyFill="1" applyBorder="1" applyAlignment="1">
      <alignment vertical="center"/>
    </xf>
    <xf numFmtId="0" fontId="10" fillId="6" borderId="7" xfId="0" applyFont="1" applyFill="1" applyBorder="1" applyAlignment="1">
      <alignment vertical="center"/>
    </xf>
    <xf numFmtId="0" fontId="10" fillId="6" borderId="24" xfId="0" applyFont="1" applyFill="1" applyBorder="1" applyAlignment="1">
      <alignment vertical="center"/>
    </xf>
    <xf numFmtId="0" fontId="10" fillId="6" borderId="11" xfId="0" applyFont="1" applyFill="1" applyBorder="1" applyAlignment="1">
      <alignment vertical="center"/>
    </xf>
    <xf numFmtId="164" fontId="10" fillId="6" borderId="11" xfId="0" applyNumberFormat="1" applyFont="1" applyFill="1" applyBorder="1" applyAlignment="1">
      <alignment horizontal="right" vertical="center"/>
    </xf>
    <xf numFmtId="164" fontId="10" fillId="6" borderId="26" xfId="0" applyNumberFormat="1" applyFont="1" applyFill="1" applyBorder="1" applyAlignment="1">
      <alignment horizontal="right" vertical="center" wrapText="1"/>
    </xf>
    <xf numFmtId="164" fontId="10" fillId="6" borderId="27" xfId="0" applyNumberFormat="1" applyFont="1" applyFill="1" applyBorder="1" applyAlignment="1">
      <alignment horizontal="right" vertical="center" wrapText="1"/>
    </xf>
    <xf numFmtId="164" fontId="10" fillId="6" borderId="3" xfId="0" applyNumberFormat="1" applyFont="1" applyFill="1" applyBorder="1" applyAlignment="1">
      <alignment horizontal="right" vertical="center" wrapText="1"/>
    </xf>
    <xf numFmtId="164" fontId="10" fillId="6" borderId="25" xfId="0" applyNumberFormat="1" applyFont="1" applyFill="1" applyBorder="1" applyAlignment="1">
      <alignment horizontal="right" vertical="center" wrapText="1"/>
    </xf>
    <xf numFmtId="164" fontId="10" fillId="6" borderId="25" xfId="0" applyNumberFormat="1" applyFont="1" applyFill="1" applyBorder="1" applyAlignment="1">
      <alignment vertical="center"/>
    </xf>
    <xf numFmtId="0" fontId="12" fillId="6" borderId="45" xfId="0" applyFont="1" applyFill="1" applyBorder="1" applyAlignment="1">
      <alignment vertical="center" wrapText="1"/>
    </xf>
    <xf numFmtId="0" fontId="11" fillId="6" borderId="44" xfId="0" applyFont="1" applyFill="1" applyBorder="1" applyAlignment="1">
      <alignment vertical="center" wrapText="1"/>
    </xf>
    <xf numFmtId="0" fontId="10" fillId="6" borderId="14" xfId="0" applyFont="1" applyFill="1" applyBorder="1" applyAlignment="1">
      <alignment vertical="center"/>
    </xf>
    <xf numFmtId="164" fontId="10" fillId="6" borderId="15" xfId="0" applyNumberFormat="1" applyFont="1" applyFill="1" applyBorder="1" applyAlignment="1">
      <alignment vertical="center"/>
    </xf>
    <xf numFmtId="164" fontId="10" fillId="6" borderId="12" xfId="0" applyNumberFormat="1" applyFont="1" applyFill="1" applyBorder="1" applyAlignment="1">
      <alignment vertical="center"/>
    </xf>
    <xf numFmtId="164" fontId="10" fillId="6" borderId="50" xfId="0" applyNumberFormat="1" applyFont="1" applyFill="1" applyBorder="1" applyAlignment="1">
      <alignment vertical="center"/>
    </xf>
    <xf numFmtId="166" fontId="10" fillId="6" borderId="7" xfId="0" applyNumberFormat="1" applyFont="1" applyFill="1" applyBorder="1" applyAlignment="1">
      <alignment vertical="center"/>
    </xf>
    <xf numFmtId="167" fontId="10" fillId="6" borderId="11" xfId="0" applyNumberFormat="1" applyFont="1" applyFill="1" applyBorder="1" applyAlignment="1">
      <alignment horizontal="right" vertical="center"/>
    </xf>
    <xf numFmtId="166" fontId="10" fillId="6" borderId="11" xfId="0" applyNumberFormat="1" applyFont="1" applyFill="1" applyBorder="1" applyAlignment="1">
      <alignment vertical="center"/>
    </xf>
    <xf numFmtId="164" fontId="10" fillId="6" borderId="29" xfId="0" applyNumberFormat="1" applyFont="1" applyFill="1" applyBorder="1" applyAlignment="1">
      <alignment horizontal="right" vertical="center" wrapText="1"/>
    </xf>
    <xf numFmtId="0" fontId="13" fillId="6" borderId="1" xfId="0" applyFont="1" applyFill="1" applyBorder="1" applyAlignment="1">
      <alignment vertical="center"/>
    </xf>
    <xf numFmtId="166" fontId="10" fillId="6" borderId="1" xfId="0" applyNumberFormat="1" applyFont="1" applyFill="1" applyBorder="1" applyAlignment="1">
      <alignment vertical="center"/>
    </xf>
    <xf numFmtId="164" fontId="10" fillId="6" borderId="27" xfId="0" applyNumberFormat="1" applyFont="1" applyFill="1" applyBorder="1" applyAlignment="1">
      <alignment vertical="center"/>
    </xf>
    <xf numFmtId="0" fontId="17" fillId="6" borderId="1" xfId="0" applyFont="1" applyFill="1" applyBorder="1" applyAlignment="1">
      <alignment horizontal="right" vertical="center" wrapText="1"/>
    </xf>
    <xf numFmtId="0" fontId="17" fillId="6" borderId="11" xfId="0" applyFont="1" applyFill="1" applyBorder="1" applyAlignment="1">
      <alignment horizontal="right" vertical="center" wrapText="1"/>
    </xf>
    <xf numFmtId="164" fontId="10" fillId="6" borderId="11" xfId="0" applyNumberFormat="1" applyFont="1" applyFill="1" applyBorder="1" applyAlignment="1">
      <alignment vertical="center" wrapText="1"/>
    </xf>
    <xf numFmtId="164" fontId="13" fillId="6" borderId="29" xfId="0" applyNumberFormat="1" applyFont="1" applyFill="1" applyBorder="1" applyAlignment="1">
      <alignment vertical="center"/>
    </xf>
    <xf numFmtId="0" fontId="10" fillId="6" borderId="11" xfId="0" applyFont="1" applyFill="1" applyBorder="1" applyAlignment="1">
      <alignment horizontal="right" vertical="center"/>
    </xf>
    <xf numFmtId="0" fontId="10" fillId="6" borderId="10" xfId="0" applyFont="1" applyFill="1" applyBorder="1" applyAlignment="1">
      <alignment vertical="center"/>
    </xf>
    <xf numFmtId="164" fontId="10" fillId="6" borderId="10" xfId="0" applyNumberFormat="1" applyFont="1" applyFill="1" applyBorder="1" applyAlignment="1">
      <alignment vertical="center" wrapText="1"/>
    </xf>
    <xf numFmtId="164" fontId="10" fillId="6" borderId="29" xfId="0" applyNumberFormat="1" applyFont="1" applyFill="1" applyBorder="1" applyAlignment="1">
      <alignment vertical="center" wrapText="1"/>
    </xf>
    <xf numFmtId="164" fontId="17" fillId="6" borderId="11" xfId="0" applyNumberFormat="1" applyFont="1" applyFill="1" applyBorder="1" applyAlignment="1">
      <alignment vertical="center"/>
    </xf>
    <xf numFmtId="164" fontId="17" fillId="6" borderId="7" xfId="0" applyNumberFormat="1" applyFont="1" applyFill="1" applyBorder="1" applyAlignment="1">
      <alignment vertical="center"/>
    </xf>
    <xf numFmtId="0" fontId="10" fillId="6" borderId="16" xfId="0" applyFont="1" applyFill="1" applyBorder="1" applyAlignment="1">
      <alignment vertical="center"/>
    </xf>
    <xf numFmtId="0" fontId="10" fillId="6" borderId="5" xfId="0" applyFont="1" applyFill="1" applyBorder="1" applyAlignment="1">
      <alignment vertical="center"/>
    </xf>
    <xf numFmtId="164" fontId="10" fillId="6" borderId="26" xfId="0" applyNumberFormat="1" applyFont="1" applyFill="1" applyBorder="1" applyAlignment="1">
      <alignment vertical="center"/>
    </xf>
    <xf numFmtId="0" fontId="10" fillId="6" borderId="2" xfId="0" applyFont="1" applyFill="1" applyBorder="1" applyAlignment="1">
      <alignment vertical="center"/>
    </xf>
    <xf numFmtId="0" fontId="10" fillId="6" borderId="8" xfId="0" applyFont="1" applyFill="1" applyBorder="1" applyAlignment="1">
      <alignment vertical="center"/>
    </xf>
    <xf numFmtId="164" fontId="11" fillId="6" borderId="9" xfId="0" applyNumberFormat="1" applyFont="1" applyFill="1" applyBorder="1" applyAlignment="1">
      <alignment horizontal="center" vertical="center" wrapText="1"/>
    </xf>
    <xf numFmtId="164" fontId="11" fillId="6" borderId="11" xfId="0" applyNumberFormat="1" applyFont="1" applyFill="1" applyBorder="1" applyAlignment="1">
      <alignment horizontal="center" vertical="center" wrapText="1"/>
    </xf>
    <xf numFmtId="0" fontId="10" fillId="6" borderId="3" xfId="0" applyFont="1" applyFill="1" applyBorder="1" applyAlignment="1">
      <alignment horizontal="center" vertical="center"/>
    </xf>
    <xf numFmtId="164" fontId="10" fillId="6" borderId="3" xfId="0" applyNumberFormat="1" applyFont="1" applyFill="1" applyBorder="1" applyAlignment="1">
      <alignment horizontal="right" vertical="center"/>
    </xf>
    <xf numFmtId="0" fontId="10" fillId="6" borderId="3" xfId="0" applyFont="1" applyFill="1" applyBorder="1" applyAlignment="1">
      <alignment horizontal="right" vertical="center"/>
    </xf>
    <xf numFmtId="0" fontId="10" fillId="6" borderId="45" xfId="0" applyFont="1" applyFill="1" applyBorder="1" applyAlignment="1">
      <alignment vertical="center" wrapText="1"/>
    </xf>
    <xf numFmtId="0" fontId="10" fillId="6" borderId="3" xfId="0" applyFont="1" applyFill="1" applyBorder="1" applyAlignment="1">
      <alignment vertical="center"/>
    </xf>
    <xf numFmtId="164" fontId="11" fillId="6" borderId="11" xfId="0" applyNumberFormat="1" applyFont="1" applyFill="1" applyBorder="1" applyAlignment="1">
      <alignment horizontal="center" vertical="center"/>
    </xf>
    <xf numFmtId="0" fontId="10" fillId="6" borderId="45" xfId="0" applyFont="1" applyFill="1" applyBorder="1" applyAlignment="1">
      <alignment vertical="center"/>
    </xf>
    <xf numFmtId="164" fontId="10" fillId="6" borderId="31" xfId="0" applyNumberFormat="1" applyFont="1" applyFill="1" applyBorder="1" applyAlignment="1">
      <alignment vertical="center"/>
    </xf>
    <xf numFmtId="0" fontId="10" fillId="6" borderId="4" xfId="0" applyFont="1" applyFill="1" applyBorder="1" applyAlignment="1">
      <alignment vertical="center"/>
    </xf>
    <xf numFmtId="0" fontId="10" fillId="6" borderId="30" xfId="0" applyFont="1" applyFill="1" applyBorder="1" applyAlignment="1">
      <alignment vertical="center" wrapText="1"/>
    </xf>
    <xf numFmtId="0" fontId="10" fillId="6" borderId="30" xfId="0" applyFont="1" applyFill="1" applyBorder="1" applyAlignment="1">
      <alignment vertical="center"/>
    </xf>
    <xf numFmtId="0" fontId="11" fillId="6" borderId="49" xfId="0" applyFont="1" applyFill="1" applyBorder="1" applyAlignment="1">
      <alignment vertical="center" wrapText="1"/>
    </xf>
    <xf numFmtId="0" fontId="10" fillId="6" borderId="12" xfId="0" applyFont="1" applyFill="1" applyBorder="1" applyAlignment="1">
      <alignment vertical="center"/>
    </xf>
    <xf numFmtId="3" fontId="10" fillId="6" borderId="1" xfId="0" applyNumberFormat="1" applyFont="1" applyFill="1" applyBorder="1" applyAlignment="1">
      <alignment vertical="center"/>
    </xf>
    <xf numFmtId="170" fontId="10" fillId="6" borderId="1" xfId="0" applyNumberFormat="1" applyFont="1" applyFill="1" applyBorder="1" applyAlignment="1">
      <alignment vertical="center"/>
    </xf>
    <xf numFmtId="170" fontId="10" fillId="6" borderId="4" xfId="0" applyNumberFormat="1" applyFont="1" applyFill="1" applyBorder="1" applyAlignment="1">
      <alignment vertical="center"/>
    </xf>
    <xf numFmtId="3" fontId="10" fillId="6" borderId="16" xfId="0" applyNumberFormat="1" applyFont="1" applyFill="1" applyBorder="1" applyAlignment="1">
      <alignment vertical="center"/>
    </xf>
    <xf numFmtId="167" fontId="10" fillId="6" borderId="11" xfId="0" applyNumberFormat="1" applyFont="1" applyFill="1" applyBorder="1" applyAlignment="1">
      <alignment vertical="center"/>
    </xf>
    <xf numFmtId="0" fontId="10" fillId="6" borderId="32" xfId="0" applyFont="1" applyFill="1" applyBorder="1" applyAlignment="1">
      <alignment vertical="center" wrapText="1"/>
    </xf>
    <xf numFmtId="0" fontId="10" fillId="6" borderId="22" xfId="0" applyFont="1" applyFill="1" applyBorder="1" applyAlignment="1">
      <alignment vertical="center"/>
    </xf>
    <xf numFmtId="0" fontId="10" fillId="6" borderId="40" xfId="0" applyFont="1" applyFill="1" applyBorder="1" applyAlignment="1">
      <alignment vertical="center"/>
    </xf>
    <xf numFmtId="0" fontId="10" fillId="6" borderId="32" xfId="0" applyFont="1" applyFill="1" applyBorder="1" applyAlignment="1">
      <alignment vertical="center"/>
    </xf>
    <xf numFmtId="164" fontId="10" fillId="6" borderId="23" xfId="0" applyNumberFormat="1" applyFont="1" applyFill="1" applyBorder="1" applyAlignment="1">
      <alignment vertical="center"/>
    </xf>
    <xf numFmtId="0" fontId="13" fillId="6" borderId="0" xfId="0" applyFont="1" applyFill="1" applyAlignment="1">
      <alignment vertical="center"/>
    </xf>
    <xf numFmtId="3" fontId="13" fillId="6" borderId="0" xfId="0" applyNumberFormat="1" applyFont="1" applyFill="1" applyAlignment="1">
      <alignment vertical="center"/>
    </xf>
    <xf numFmtId="166" fontId="13" fillId="6" borderId="0" xfId="0" applyNumberFormat="1" applyFont="1" applyFill="1" applyAlignment="1">
      <alignment vertical="center"/>
    </xf>
    <xf numFmtId="164" fontId="13" fillId="6" borderId="0" xfId="0" applyNumberFormat="1" applyFont="1" applyFill="1" applyAlignment="1">
      <alignment vertical="center"/>
    </xf>
    <xf numFmtId="0" fontId="44" fillId="6" borderId="0" xfId="0" applyFont="1" applyFill="1" applyAlignment="1">
      <alignment vertical="center"/>
    </xf>
    <xf numFmtId="0" fontId="45" fillId="6" borderId="0" xfId="0" applyFont="1" applyFill="1" applyAlignment="1">
      <alignment vertical="center"/>
    </xf>
    <xf numFmtId="164" fontId="44" fillId="6" borderId="0" xfId="0" applyNumberFormat="1" applyFont="1" applyFill="1" applyAlignment="1">
      <alignment horizontal="left" vertical="center"/>
    </xf>
    <xf numFmtId="0" fontId="18" fillId="6" borderId="0" xfId="0" applyFont="1" applyFill="1" applyAlignment="1">
      <alignment vertical="center"/>
    </xf>
    <xf numFmtId="0" fontId="19" fillId="6" borderId="0" xfId="0" applyFont="1" applyFill="1" applyAlignment="1">
      <alignment vertical="center"/>
    </xf>
    <xf numFmtId="0" fontId="18" fillId="6" borderId="0" xfId="0" applyFont="1" applyFill="1" applyAlignment="1">
      <alignment horizontal="center" vertical="center"/>
    </xf>
    <xf numFmtId="164" fontId="17" fillId="6" borderId="0" xfId="0" applyNumberFormat="1" applyFont="1" applyFill="1" applyAlignment="1">
      <alignment horizontal="center" vertical="center"/>
    </xf>
    <xf numFmtId="3" fontId="11" fillId="6" borderId="44" xfId="0" applyNumberFormat="1" applyFont="1" applyFill="1" applyBorder="1" applyAlignment="1">
      <alignment vertical="center"/>
    </xf>
    <xf numFmtId="0" fontId="11" fillId="6" borderId="15" xfId="0" applyFont="1" applyFill="1" applyBorder="1" applyAlignment="1">
      <alignment vertical="center"/>
    </xf>
    <xf numFmtId="167" fontId="11" fillId="6" borderId="45" xfId="0" applyNumberFormat="1" applyFont="1" applyFill="1" applyBorder="1" applyAlignment="1">
      <alignment vertical="center"/>
    </xf>
    <xf numFmtId="0" fontId="11" fillId="6" borderId="11" xfId="0" applyFont="1" applyFill="1" applyBorder="1" applyAlignment="1">
      <alignment vertical="center"/>
    </xf>
    <xf numFmtId="166" fontId="11" fillId="6" borderId="45" xfId="0" applyNumberFormat="1" applyFont="1" applyFill="1" applyBorder="1" applyAlignment="1">
      <alignment vertical="center"/>
    </xf>
    <xf numFmtId="0" fontId="10" fillId="6" borderId="1" xfId="0" applyFont="1" applyFill="1" applyBorder="1" applyAlignment="1">
      <alignment horizontal="center" vertical="center"/>
    </xf>
    <xf numFmtId="0" fontId="10" fillId="6" borderId="10" xfId="0" applyFont="1" applyFill="1" applyBorder="1" applyAlignment="1">
      <alignment horizontal="center" vertical="center"/>
    </xf>
    <xf numFmtId="0" fontId="25" fillId="6" borderId="16" xfId="0" applyFont="1" applyFill="1" applyBorder="1" applyAlignment="1">
      <alignment vertical="center"/>
    </xf>
    <xf numFmtId="0" fontId="25" fillId="6" borderId="1" xfId="0" applyFont="1" applyFill="1" applyBorder="1" applyAlignment="1">
      <alignment vertical="center"/>
    </xf>
    <xf numFmtId="3" fontId="11" fillId="6" borderId="14" xfId="0" applyNumberFormat="1" applyFont="1" applyFill="1" applyBorder="1" applyAlignment="1">
      <alignment vertical="center"/>
    </xf>
    <xf numFmtId="0" fontId="11" fillId="6" borderId="15" xfId="0" applyFont="1" applyFill="1" applyBorder="1" applyAlignment="1">
      <alignment horizontal="left" vertical="center"/>
    </xf>
    <xf numFmtId="166" fontId="11" fillId="6" borderId="7" xfId="0" applyNumberFormat="1" applyFont="1" applyFill="1" applyBorder="1" applyAlignment="1">
      <alignment vertical="center"/>
    </xf>
    <xf numFmtId="0" fontId="11" fillId="6" borderId="11" xfId="0" applyFont="1" applyFill="1" applyBorder="1" applyAlignment="1">
      <alignment horizontal="left" vertical="center"/>
    </xf>
    <xf numFmtId="164" fontId="37" fillId="4" borderId="0" xfId="0" applyNumberFormat="1" applyFont="1" applyFill="1" applyAlignment="1">
      <alignment horizontal="center" vertical="center"/>
    </xf>
    <xf numFmtId="0" fontId="0" fillId="0" borderId="11" xfId="0" applyBorder="1" applyAlignment="1">
      <alignment horizontal="center" vertical="center"/>
    </xf>
    <xf numFmtId="0" fontId="10" fillId="6" borderId="3" xfId="0" applyFont="1" applyFill="1" applyBorder="1" applyAlignment="1">
      <alignment vertical="center" wrapText="1"/>
    </xf>
    <xf numFmtId="164" fontId="44" fillId="6" borderId="0" xfId="0" applyNumberFormat="1" applyFont="1" applyFill="1" applyAlignment="1">
      <alignment horizontal="right" vertical="center"/>
    </xf>
    <xf numFmtId="164" fontId="13" fillId="0" borderId="0" xfId="0" applyNumberFormat="1" applyFont="1" applyBorder="1" applyAlignment="1">
      <alignment vertical="center"/>
    </xf>
    <xf numFmtId="0" fontId="16" fillId="0" borderId="45" xfId="0" applyFont="1" applyBorder="1" applyAlignment="1">
      <alignment vertical="center" wrapText="1"/>
    </xf>
    <xf numFmtId="164" fontId="15" fillId="6" borderId="1" xfId="0" applyNumberFormat="1" applyFont="1" applyFill="1" applyBorder="1" applyAlignment="1">
      <alignment vertical="center"/>
    </xf>
    <xf numFmtId="164" fontId="13" fillId="6" borderId="11" xfId="0" applyNumberFormat="1" applyFont="1" applyFill="1" applyBorder="1" applyAlignment="1">
      <alignment horizontal="right" vertical="center" wrapText="1"/>
    </xf>
    <xf numFmtId="164" fontId="13" fillId="6" borderId="1" xfId="0" applyNumberFormat="1" applyFont="1" applyFill="1" applyBorder="1" applyAlignment="1">
      <alignment horizontal="right" vertical="center"/>
    </xf>
    <xf numFmtId="164" fontId="13" fillId="6" borderId="27" xfId="0" applyNumberFormat="1" applyFont="1" applyFill="1" applyBorder="1" applyAlignment="1">
      <alignment vertical="center"/>
    </xf>
    <xf numFmtId="164" fontId="13" fillId="6" borderId="5" xfId="0" applyNumberFormat="1" applyFont="1" applyFill="1" applyBorder="1" applyAlignment="1">
      <alignment vertical="center"/>
    </xf>
    <xf numFmtId="164" fontId="13" fillId="0" borderId="5" xfId="0" applyNumberFormat="1" applyFont="1" applyBorder="1" applyAlignment="1">
      <alignment vertical="center"/>
    </xf>
    <xf numFmtId="164" fontId="13" fillId="0" borderId="11" xfId="0" applyNumberFormat="1" applyFont="1" applyBorder="1" applyAlignment="1">
      <alignment horizontal="right" vertical="center"/>
    </xf>
    <xf numFmtId="164" fontId="36" fillId="6" borderId="0" xfId="0" applyNumberFormat="1" applyFont="1" applyFill="1" applyAlignment="1">
      <alignment horizontal="center" vertical="center"/>
    </xf>
    <xf numFmtId="164" fontId="38" fillId="9" borderId="0" xfId="0" applyNumberFormat="1" applyFont="1" applyFill="1" applyAlignment="1">
      <alignment horizontal="center" vertical="center"/>
    </xf>
    <xf numFmtId="164" fontId="14" fillId="6" borderId="1" xfId="0" applyNumberFormat="1" applyFont="1" applyFill="1" applyBorder="1" applyAlignment="1">
      <alignment horizontal="right" vertical="center"/>
    </xf>
    <xf numFmtId="164" fontId="14" fillId="6" borderId="27" xfId="0" applyNumberFormat="1" applyFont="1" applyFill="1" applyBorder="1" applyAlignment="1">
      <alignment horizontal="right" vertical="center"/>
    </xf>
    <xf numFmtId="164" fontId="14" fillId="6" borderId="1" xfId="0" applyNumberFormat="1" applyFont="1" applyFill="1" applyBorder="1" applyAlignment="1">
      <alignment vertical="center"/>
    </xf>
    <xf numFmtId="164" fontId="14" fillId="6" borderId="27" xfId="0" applyNumberFormat="1" applyFont="1" applyFill="1" applyBorder="1" applyAlignment="1">
      <alignment vertical="center"/>
    </xf>
    <xf numFmtId="49" fontId="1" fillId="0" borderId="16" xfId="0" applyNumberFormat="1" applyFont="1" applyBorder="1" applyAlignment="1">
      <alignment horizontal="center" vertical="center"/>
    </xf>
    <xf numFmtId="0" fontId="28" fillId="0" borderId="1" xfId="0" applyFont="1" applyBorder="1" applyAlignment="1">
      <alignment vertical="center" wrapText="1"/>
    </xf>
    <xf numFmtId="0" fontId="10" fillId="6" borderId="1" xfId="0" applyFont="1" applyFill="1" applyBorder="1"/>
    <xf numFmtId="164" fontId="29" fillId="6" borderId="1" xfId="0" applyNumberFormat="1" applyFont="1" applyFill="1" applyBorder="1" applyAlignment="1">
      <alignment vertical="center"/>
    </xf>
    <xf numFmtId="0" fontId="10" fillId="6" borderId="12" xfId="0" applyFont="1" applyFill="1" applyBorder="1" applyAlignment="1">
      <alignment horizontal="center" vertical="center" wrapText="1"/>
    </xf>
    <xf numFmtId="0" fontId="0" fillId="6" borderId="12" xfId="0" applyFill="1" applyBorder="1" applyAlignment="1">
      <alignment vertical="center"/>
    </xf>
    <xf numFmtId="0" fontId="18" fillId="0" borderId="0" xfId="0" applyFont="1" applyAlignment="1">
      <alignment horizontal="center" vertical="center"/>
    </xf>
    <xf numFmtId="164" fontId="11" fillId="6" borderId="12" xfId="0" applyNumberFormat="1" applyFont="1" applyFill="1" applyBorder="1" applyAlignment="1">
      <alignment vertical="center"/>
    </xf>
    <xf numFmtId="164" fontId="0" fillId="6" borderId="12" xfId="0" applyNumberFormat="1" applyFill="1" applyBorder="1" applyAlignment="1">
      <alignment vertical="center"/>
    </xf>
    <xf numFmtId="164" fontId="0" fillId="6" borderId="3" xfId="0" applyNumberFormat="1" applyFill="1" applyBorder="1" applyAlignment="1">
      <alignment vertical="center"/>
    </xf>
    <xf numFmtId="164" fontId="11" fillId="6" borderId="12" xfId="0" applyNumberFormat="1" applyFont="1" applyFill="1" applyBorder="1" applyAlignment="1">
      <alignment horizontal="right" vertical="center"/>
    </xf>
    <xf numFmtId="164" fontId="0" fillId="6" borderId="12" xfId="0" applyNumberFormat="1" applyFill="1" applyBorder="1" applyAlignment="1">
      <alignment horizontal="right" vertical="center"/>
    </xf>
    <xf numFmtId="164" fontId="0" fillId="6" borderId="3" xfId="0" applyNumberFormat="1" applyFill="1" applyBorder="1" applyAlignment="1">
      <alignment horizontal="right" vertical="center"/>
    </xf>
    <xf numFmtId="164" fontId="11"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164" fontId="0" fillId="6" borderId="3" xfId="0" applyNumberFormat="1" applyFill="1" applyBorder="1" applyAlignment="1">
      <alignment horizontal="center" vertical="center"/>
    </xf>
    <xf numFmtId="0" fontId="11" fillId="6" borderId="44" xfId="0" applyFont="1" applyFill="1" applyBorder="1" applyAlignment="1">
      <alignment horizontal="center" vertical="center" wrapText="1"/>
    </xf>
    <xf numFmtId="0" fontId="25" fillId="6" borderId="15" xfId="0" applyFont="1" applyFill="1" applyBorder="1" applyAlignment="1">
      <alignment vertical="center"/>
    </xf>
    <xf numFmtId="0" fontId="25" fillId="6" borderId="44" xfId="0" applyFont="1" applyFill="1" applyBorder="1" applyAlignment="1">
      <alignment vertical="center"/>
    </xf>
    <xf numFmtId="0" fontId="10" fillId="6" borderId="48" xfId="0" applyFont="1" applyFill="1" applyBorder="1" applyAlignment="1">
      <alignment vertical="center" wrapText="1"/>
    </xf>
    <xf numFmtId="0" fontId="25" fillId="6" borderId="13" xfId="0" applyFont="1" applyFill="1" applyBorder="1" applyAlignment="1">
      <alignment vertical="center"/>
    </xf>
    <xf numFmtId="0" fontId="25" fillId="6" borderId="10" xfId="0" applyFont="1" applyFill="1" applyBorder="1" applyAlignment="1">
      <alignment vertical="center"/>
    </xf>
    <xf numFmtId="0" fontId="25" fillId="6" borderId="29" xfId="0" applyFont="1" applyFill="1" applyBorder="1" applyAlignment="1">
      <alignment vertical="center"/>
    </xf>
    <xf numFmtId="164" fontId="10" fillId="6" borderId="4" xfId="0" applyNumberFormat="1" applyFont="1" applyFill="1" applyBorder="1" applyAlignment="1">
      <alignment vertical="center"/>
    </xf>
    <xf numFmtId="164" fontId="25" fillId="6" borderId="13" xfId="0" applyNumberFormat="1" applyFont="1" applyFill="1" applyBorder="1" applyAlignment="1">
      <alignment vertical="center"/>
    </xf>
    <xf numFmtId="164" fontId="25" fillId="6" borderId="26" xfId="0" applyNumberFormat="1" applyFont="1" applyFill="1" applyBorder="1" applyAlignment="1">
      <alignment vertical="center"/>
    </xf>
    <xf numFmtId="0" fontId="25" fillId="6" borderId="26" xfId="0" applyFont="1" applyFill="1" applyBorder="1" applyAlignment="1">
      <alignment vertical="center"/>
    </xf>
    <xf numFmtId="164" fontId="44" fillId="0" borderId="0" xfId="0" applyNumberFormat="1" applyFont="1" applyAlignment="1">
      <alignment horizontal="center" vertical="center"/>
    </xf>
    <xf numFmtId="164" fontId="46" fillId="0" borderId="0" xfId="0" applyNumberFormat="1" applyFont="1" applyAlignment="1">
      <alignment vertical="center"/>
    </xf>
    <xf numFmtId="0" fontId="25" fillId="6" borderId="12" xfId="0" applyFont="1" applyFill="1" applyBorder="1" applyAlignment="1">
      <alignment horizontal="center" vertical="center" wrapText="1"/>
    </xf>
    <xf numFmtId="0" fontId="25" fillId="6" borderId="3" xfId="0" applyFont="1" applyFill="1" applyBorder="1" applyAlignment="1">
      <alignment horizontal="center" vertical="center" wrapText="1"/>
    </xf>
    <xf numFmtId="0" fontId="10" fillId="6" borderId="12" xfId="0" applyFont="1" applyFill="1" applyBorder="1" applyAlignment="1">
      <alignment horizontal="center" vertical="center"/>
    </xf>
    <xf numFmtId="0" fontId="25" fillId="6" borderId="12" xfId="0" applyFont="1" applyFill="1" applyBorder="1" applyAlignment="1">
      <alignment horizontal="center" vertical="center"/>
    </xf>
    <xf numFmtId="0" fontId="25" fillId="6" borderId="3" xfId="0" applyFont="1" applyFill="1" applyBorder="1" applyAlignment="1">
      <alignment horizontal="center" vertical="center"/>
    </xf>
    <xf numFmtId="0" fontId="10" fillId="6" borderId="14" xfId="0" applyFont="1" applyFill="1" applyBorder="1" applyAlignment="1">
      <alignment horizontal="center" vertical="center"/>
    </xf>
    <xf numFmtId="0" fontId="25" fillId="6" borderId="14" xfId="0" applyFont="1" applyFill="1" applyBorder="1" applyAlignment="1">
      <alignment horizontal="center" vertical="center"/>
    </xf>
    <xf numFmtId="0" fontId="25" fillId="6" borderId="7" xfId="0" applyFont="1" applyFill="1" applyBorder="1" applyAlignment="1">
      <alignment horizontal="center" vertical="center"/>
    </xf>
    <xf numFmtId="0" fontId="10" fillId="6" borderId="41" xfId="0" applyFont="1" applyFill="1" applyBorder="1" applyAlignment="1">
      <alignment horizontal="center" vertical="center"/>
    </xf>
    <xf numFmtId="0" fontId="25" fillId="6" borderId="33" xfId="0" applyFont="1" applyFill="1" applyBorder="1" applyAlignment="1">
      <alignment horizontal="center" vertical="center"/>
    </xf>
    <xf numFmtId="0" fontId="25" fillId="6" borderId="44" xfId="0" applyFont="1" applyFill="1" applyBorder="1" applyAlignment="1">
      <alignment horizontal="center" vertical="center"/>
    </xf>
    <xf numFmtId="0" fontId="25" fillId="6" borderId="15" xfId="0" applyFont="1" applyFill="1" applyBorder="1" applyAlignment="1">
      <alignment horizontal="center" vertical="center"/>
    </xf>
    <xf numFmtId="0" fontId="25" fillId="6" borderId="45" xfId="0" applyFont="1" applyFill="1" applyBorder="1" applyAlignment="1">
      <alignment horizontal="center" vertical="center"/>
    </xf>
    <xf numFmtId="0" fontId="25" fillId="6" borderId="11" xfId="0" applyFont="1" applyFill="1" applyBorder="1" applyAlignment="1">
      <alignment horizontal="center" vertical="center"/>
    </xf>
    <xf numFmtId="0" fontId="22" fillId="0" borderId="0" xfId="0" applyFont="1" applyAlignment="1">
      <alignment horizontal="center" vertical="center"/>
    </xf>
    <xf numFmtId="0" fontId="23" fillId="0" borderId="0" xfId="0" applyFont="1" applyAlignment="1">
      <alignment horizontal="center" vertical="center"/>
    </xf>
    <xf numFmtId="0" fontId="44" fillId="6" borderId="0" xfId="0" applyFont="1" applyFill="1" applyAlignment="1">
      <alignment horizontal="left" vertical="center"/>
    </xf>
    <xf numFmtId="0" fontId="11" fillId="6" borderId="46" xfId="0" applyFont="1" applyFill="1" applyBorder="1" applyAlignment="1">
      <alignment horizontal="center" vertical="center" wrapText="1"/>
    </xf>
    <xf numFmtId="0" fontId="26" fillId="6" borderId="9" xfId="0" applyFont="1" applyFill="1" applyBorder="1" applyAlignment="1">
      <alignment horizontal="center" vertical="center" wrapText="1"/>
    </xf>
    <xf numFmtId="0" fontId="26" fillId="6" borderId="45" xfId="0" applyFont="1" applyFill="1" applyBorder="1" applyAlignment="1">
      <alignment horizontal="center" vertical="center" wrapText="1"/>
    </xf>
    <xf numFmtId="0" fontId="26" fillId="6" borderId="11" xfId="0" applyFont="1" applyFill="1" applyBorder="1" applyAlignment="1">
      <alignment horizontal="center" vertical="center" wrapText="1"/>
    </xf>
    <xf numFmtId="0" fontId="10" fillId="6" borderId="46" xfId="0" applyFont="1" applyFill="1" applyBorder="1" applyAlignment="1">
      <alignment vertical="center"/>
    </xf>
    <xf numFmtId="0" fontId="25" fillId="6" borderId="9" xfId="0" applyFont="1" applyFill="1" applyBorder="1" applyAlignment="1">
      <alignment vertical="center"/>
    </xf>
    <xf numFmtId="0" fontId="25" fillId="6" borderId="45" xfId="0" applyFont="1" applyFill="1" applyBorder="1" applyAlignment="1">
      <alignment vertical="center"/>
    </xf>
    <xf numFmtId="0" fontId="25" fillId="6" borderId="11" xfId="0" applyFont="1" applyFill="1" applyBorder="1" applyAlignment="1">
      <alignment vertical="center"/>
    </xf>
    <xf numFmtId="0" fontId="11" fillId="6" borderId="6" xfId="0" applyFont="1" applyFill="1" applyBorder="1" applyAlignment="1">
      <alignment horizontal="center" vertical="center" wrapText="1"/>
    </xf>
    <xf numFmtId="0" fontId="25" fillId="6" borderId="14" xfId="0" applyFont="1" applyFill="1" applyBorder="1" applyAlignment="1">
      <alignment vertical="center"/>
    </xf>
    <xf numFmtId="0" fontId="25" fillId="6" borderId="8" xfId="0" applyFont="1" applyFill="1" applyBorder="1" applyAlignment="1">
      <alignment vertical="center"/>
    </xf>
    <xf numFmtId="164" fontId="44" fillId="6" borderId="0" xfId="0" applyNumberFormat="1" applyFont="1" applyFill="1" applyAlignment="1">
      <alignment horizontal="left" vertical="center"/>
    </xf>
    <xf numFmtId="0" fontId="10" fillId="6" borderId="2" xfId="0" applyFont="1" applyFill="1" applyBorder="1" applyAlignment="1">
      <alignment horizontal="center" vertical="center"/>
    </xf>
    <xf numFmtId="0" fontId="11" fillId="6" borderId="49" xfId="0" applyFont="1" applyFill="1" applyBorder="1" applyAlignment="1">
      <alignment vertical="center" wrapText="1"/>
    </xf>
    <xf numFmtId="0" fontId="0" fillId="6" borderId="49" xfId="0" applyFill="1" applyBorder="1" applyAlignment="1">
      <alignment vertical="center" wrapText="1"/>
    </xf>
    <xf numFmtId="0" fontId="0" fillId="6" borderId="24" xfId="0" applyFill="1" applyBorder="1" applyAlignment="1">
      <alignment vertical="center" wrapText="1"/>
    </xf>
    <xf numFmtId="0" fontId="10" fillId="6" borderId="2"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3" xfId="0" applyFill="1" applyBorder="1" applyAlignment="1">
      <alignment horizontal="center" vertical="center" wrapText="1"/>
    </xf>
    <xf numFmtId="0" fontId="0" fillId="6" borderId="12" xfId="0" applyFill="1" applyBorder="1" applyAlignment="1">
      <alignment horizontal="center" vertical="center"/>
    </xf>
    <xf numFmtId="0" fontId="0" fillId="6" borderId="3" xfId="0" applyFill="1" applyBorder="1" applyAlignment="1">
      <alignment horizontal="center" vertical="center"/>
    </xf>
    <xf numFmtId="164" fontId="11" fillId="6" borderId="50" xfId="0" applyNumberFormat="1" applyFont="1" applyFill="1" applyBorder="1" applyAlignment="1">
      <alignment vertical="center"/>
    </xf>
    <xf numFmtId="164" fontId="0" fillId="6" borderId="50" xfId="0" applyNumberFormat="1" applyFill="1" applyBorder="1" applyAlignment="1">
      <alignment vertical="center"/>
    </xf>
    <xf numFmtId="164" fontId="0" fillId="6" borderId="25" xfId="0" applyNumberFormat="1" applyFill="1" applyBorder="1" applyAlignment="1">
      <alignment vertical="center"/>
    </xf>
    <xf numFmtId="0" fontId="14" fillId="6" borderId="46" xfId="0" applyFont="1" applyFill="1" applyBorder="1" applyAlignment="1">
      <alignment horizontal="center" vertical="center" wrapText="1"/>
    </xf>
    <xf numFmtId="0" fontId="68" fillId="6" borderId="9" xfId="0" applyFont="1" applyFill="1" applyBorder="1" applyAlignment="1">
      <alignment horizontal="center" vertical="center" wrapText="1"/>
    </xf>
    <xf numFmtId="0" fontId="68" fillId="6" borderId="45" xfId="0" applyFont="1" applyFill="1" applyBorder="1" applyAlignment="1">
      <alignment horizontal="center" vertical="center" wrapText="1"/>
    </xf>
    <xf numFmtId="0" fontId="68" fillId="6" borderId="11"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0" fillId="6" borderId="14" xfId="0" applyFill="1" applyBorder="1" applyAlignment="1">
      <alignment horizontal="center" vertical="center" wrapText="1"/>
    </xf>
    <xf numFmtId="0" fontId="0" fillId="6" borderId="7" xfId="0" applyFill="1" applyBorder="1" applyAlignment="1">
      <alignment horizontal="center" vertical="center" wrapText="1"/>
    </xf>
    <xf numFmtId="0" fontId="11" fillId="0" borderId="47" xfId="0" applyFont="1" applyBorder="1" applyAlignment="1">
      <alignment horizontal="center" vertical="center" wrapText="1"/>
    </xf>
    <xf numFmtId="0" fontId="11" fillId="0" borderId="43" xfId="0" applyFont="1" applyBorder="1" applyAlignment="1">
      <alignment vertical="center"/>
    </xf>
    <xf numFmtId="0" fontId="11" fillId="0" borderId="17" xfId="0" applyFont="1" applyBorder="1" applyAlignment="1">
      <alignment horizontal="center" vertical="center" wrapText="1"/>
    </xf>
    <xf numFmtId="0" fontId="11" fillId="0" borderId="21" xfId="0" applyFont="1" applyBorder="1" applyAlignment="1">
      <alignment vertical="center"/>
    </xf>
    <xf numFmtId="0" fontId="11" fillId="0" borderId="18"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1" xfId="0" applyFont="1" applyBorder="1" applyAlignment="1">
      <alignment horizontal="center" vertical="center" wrapText="1"/>
    </xf>
    <xf numFmtId="0" fontId="0" fillId="0" borderId="33" xfId="0" applyBorder="1" applyAlignment="1">
      <alignment horizontal="center" vertical="center" wrapText="1"/>
    </xf>
    <xf numFmtId="0" fontId="0" fillId="0" borderId="42" xfId="0" applyBorder="1" applyAlignment="1">
      <alignment vertical="center"/>
    </xf>
    <xf numFmtId="0" fontId="0" fillId="0" borderId="35" xfId="0" applyBorder="1" applyAlignment="1">
      <alignment vertical="center"/>
    </xf>
    <xf numFmtId="164" fontId="11" fillId="0" borderId="18" xfId="0" applyNumberFormat="1" applyFont="1" applyBorder="1" applyAlignment="1">
      <alignment horizontal="center" vertical="center" wrapText="1"/>
    </xf>
    <xf numFmtId="164" fontId="25" fillId="0" borderId="38" xfId="0" applyNumberFormat="1" applyFont="1" applyBorder="1" applyAlignment="1">
      <alignment horizontal="center" vertical="center" wrapText="1"/>
    </xf>
    <xf numFmtId="164" fontId="25" fillId="0" borderId="39" xfId="0" applyNumberFormat="1" applyFont="1" applyBorder="1" applyAlignment="1">
      <alignment horizontal="center" vertical="center" wrapText="1"/>
    </xf>
    <xf numFmtId="0" fontId="25" fillId="6" borderId="48" xfId="0" applyFont="1" applyFill="1" applyBorder="1" applyAlignment="1">
      <alignment vertical="center"/>
    </xf>
    <xf numFmtId="164" fontId="17" fillId="6" borderId="4" xfId="0" applyNumberFormat="1" applyFont="1" applyFill="1" applyBorder="1" applyAlignment="1">
      <alignment horizontal="center" vertical="center"/>
    </xf>
    <xf numFmtId="164" fontId="17" fillId="6" borderId="13" xfId="0" applyNumberFormat="1" applyFont="1" applyFill="1" applyBorder="1" applyAlignment="1">
      <alignment horizontal="center" vertical="center"/>
    </xf>
    <xf numFmtId="164" fontId="17" fillId="6" borderId="5" xfId="0" applyNumberFormat="1" applyFont="1" applyFill="1" applyBorder="1" applyAlignment="1">
      <alignment horizontal="center" vertical="center"/>
    </xf>
    <xf numFmtId="0" fontId="0" fillId="6" borderId="14" xfId="0" applyFill="1" applyBorder="1" applyAlignment="1">
      <alignment horizontal="center" vertical="center"/>
    </xf>
    <xf numFmtId="0" fontId="0" fillId="6" borderId="7" xfId="0" applyFill="1" applyBorder="1" applyAlignment="1">
      <alignment horizontal="center" vertical="center"/>
    </xf>
    <xf numFmtId="164" fontId="10" fillId="6" borderId="4" xfId="0" applyNumberFormat="1" applyFont="1" applyFill="1" applyBorder="1" applyAlignment="1">
      <alignment vertical="center" wrapText="1"/>
    </xf>
    <xf numFmtId="164" fontId="25" fillId="6" borderId="13" xfId="0" applyNumberFormat="1" applyFont="1" applyFill="1" applyBorder="1" applyAlignment="1">
      <alignment vertical="center" wrapText="1"/>
    </xf>
    <xf numFmtId="164" fontId="25" fillId="6" borderId="26" xfId="0" applyNumberFormat="1" applyFont="1" applyFill="1" applyBorder="1" applyAlignment="1">
      <alignment vertical="center" wrapText="1"/>
    </xf>
    <xf numFmtId="164" fontId="11" fillId="6" borderId="50" xfId="0" applyNumberFormat="1" applyFont="1" applyFill="1" applyBorder="1" applyAlignment="1">
      <alignment horizontal="right" vertical="center"/>
    </xf>
    <xf numFmtId="164" fontId="0" fillId="6" borderId="50" xfId="0" applyNumberFormat="1" applyFill="1" applyBorder="1" applyAlignment="1">
      <alignment horizontal="right" vertical="center"/>
    </xf>
    <xf numFmtId="164" fontId="0" fillId="6" borderId="25" xfId="0" applyNumberFormat="1" applyFill="1" applyBorder="1" applyAlignment="1">
      <alignment horizontal="right" vertical="center"/>
    </xf>
    <xf numFmtId="164" fontId="11" fillId="6" borderId="15" xfId="0" applyNumberFormat="1" applyFont="1" applyFill="1" applyBorder="1" applyAlignment="1">
      <alignment horizontal="right" vertical="center"/>
    </xf>
    <xf numFmtId="164" fontId="0" fillId="6" borderId="15" xfId="0" applyNumberFormat="1" applyFill="1" applyBorder="1" applyAlignment="1">
      <alignment horizontal="right" vertical="center"/>
    </xf>
    <xf numFmtId="164" fontId="0" fillId="6" borderId="11" xfId="0" applyNumberFormat="1" applyFill="1" applyBorder="1" applyAlignment="1">
      <alignment horizontal="right" vertical="center"/>
    </xf>
    <xf numFmtId="164" fontId="11" fillId="6" borderId="50" xfId="0" applyNumberFormat="1" applyFont="1" applyFill="1" applyBorder="1" applyAlignment="1">
      <alignment horizontal="center" vertical="center"/>
    </xf>
    <xf numFmtId="164" fontId="0" fillId="6" borderId="50" xfId="0" applyNumberFormat="1" applyFill="1" applyBorder="1" applyAlignment="1">
      <alignment horizontal="center" vertical="center"/>
    </xf>
    <xf numFmtId="164" fontId="0" fillId="6" borderId="25" xfId="0" applyNumberFormat="1" applyFill="1" applyBorder="1" applyAlignment="1">
      <alignment horizontal="center" vertical="center"/>
    </xf>
    <xf numFmtId="0" fontId="18" fillId="0" borderId="0" xfId="0" applyFont="1" applyAlignment="1">
      <alignment vertical="center" wrapText="1"/>
    </xf>
    <xf numFmtId="0" fontId="18" fillId="0" borderId="0" xfId="0" applyFont="1" applyAlignment="1">
      <alignment vertical="center"/>
    </xf>
    <xf numFmtId="164" fontId="0" fillId="0" borderId="0" xfId="0" applyNumberFormat="1" applyAlignment="1">
      <alignment vertical="center" wrapText="1"/>
    </xf>
    <xf numFmtId="0" fontId="0" fillId="0" borderId="0" xfId="0" applyAlignment="1">
      <alignment vertical="center" wrapText="1"/>
    </xf>
    <xf numFmtId="0" fontId="13" fillId="0" borderId="0" xfId="0" applyFont="1" applyAlignment="1">
      <alignment horizontal="center" vertical="center"/>
    </xf>
    <xf numFmtId="0" fontId="36" fillId="0" borderId="0" xfId="0" applyFont="1" applyAlignment="1">
      <alignment vertical="center"/>
    </xf>
    <xf numFmtId="0" fontId="18" fillId="0" borderId="0" xfId="0" applyFont="1" applyAlignment="1">
      <alignment horizontal="center" vertical="center" wrapText="1"/>
    </xf>
    <xf numFmtId="0" fontId="18" fillId="0" borderId="0" xfId="0" applyFont="1" applyAlignment="1">
      <alignment horizontal="right" vertical="center"/>
    </xf>
    <xf numFmtId="0" fontId="0" fillId="0" borderId="0" xfId="0" applyAlignment="1">
      <alignment horizontal="right" vertical="center"/>
    </xf>
    <xf numFmtId="0" fontId="14" fillId="0" borderId="1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7"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7" xfId="0" applyFont="1" applyBorder="1" applyAlignment="1">
      <alignment horizontal="center" vertical="center" wrapText="1"/>
    </xf>
    <xf numFmtId="0" fontId="44" fillId="0" borderId="0" xfId="0" applyFont="1" applyAlignment="1">
      <alignment horizontal="right"/>
    </xf>
    <xf numFmtId="0" fontId="2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4" fillId="0" borderId="0" xfId="0" applyFont="1" applyAlignment="1">
      <alignment horizontal="center"/>
    </xf>
    <xf numFmtId="0" fontId="0" fillId="0" borderId="0" xfId="0" applyAlignment="1">
      <alignment horizontal="center"/>
    </xf>
    <xf numFmtId="0" fontId="18" fillId="0" borderId="0" xfId="0" applyFont="1" applyAlignment="1">
      <alignment horizontal="left"/>
    </xf>
    <xf numFmtId="170" fontId="13"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11" fillId="8" borderId="4" xfId="0" applyFont="1" applyFill="1" applyBorder="1" applyAlignment="1">
      <alignment horizontal="center" vertical="center" wrapText="1"/>
    </xf>
    <xf numFmtId="0" fontId="11" fillId="8" borderId="13"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80" fillId="0" borderId="0" xfId="0" applyFont="1" applyAlignment="1">
      <alignment vertical="center" wrapText="1"/>
    </xf>
    <xf numFmtId="0" fontId="11" fillId="3" borderId="4"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4" fontId="10" fillId="2" borderId="2" xfId="0" applyNumberFormat="1" applyFont="1" applyFill="1" applyBorder="1" applyAlignment="1">
      <alignment horizontal="center" vertical="center"/>
    </xf>
    <xf numFmtId="4" fontId="10" fillId="2" borderId="3" xfId="0" applyNumberFormat="1" applyFont="1" applyFill="1" applyBorder="1" applyAlignment="1">
      <alignment horizontal="center" vertical="center"/>
    </xf>
    <xf numFmtId="0" fontId="18" fillId="0" borderId="0" xfId="0" applyFont="1" applyAlignment="1">
      <alignment horizontal="right"/>
    </xf>
    <xf numFmtId="0" fontId="14" fillId="0" borderId="36" xfId="0" applyFont="1" applyBorder="1" applyAlignment="1">
      <alignment horizontal="center" vertical="center" wrapText="1"/>
    </xf>
    <xf numFmtId="0" fontId="14" fillId="0" borderId="19" xfId="0" applyFont="1" applyBorder="1" applyAlignment="1">
      <alignment horizontal="center" vertical="center" wrapText="1"/>
    </xf>
    <xf numFmtId="0" fontId="0" fillId="0" borderId="0" xfId="0" applyAlignment="1">
      <alignment horizontal="right"/>
    </xf>
    <xf numFmtId="0" fontId="0" fillId="0" borderId="0" xfId="0"/>
    <xf numFmtId="0" fontId="13" fillId="0" borderId="0" xfId="0" applyFont="1" applyAlignment="1">
      <alignment vertical="center" wrapText="1"/>
    </xf>
    <xf numFmtId="0" fontId="20" fillId="0" borderId="7"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14" fillId="0" borderId="4" xfId="0" applyFont="1" applyBorder="1" applyAlignment="1">
      <alignment vertical="center" wrapText="1"/>
    </xf>
    <xf numFmtId="0" fontId="13" fillId="0" borderId="13" xfId="0" applyFont="1" applyBorder="1" applyAlignment="1">
      <alignment vertical="center" wrapText="1"/>
    </xf>
    <xf numFmtId="0" fontId="13" fillId="0" borderId="5" xfId="0" applyFont="1" applyBorder="1" applyAlignment="1">
      <alignment vertical="center" wrapText="1"/>
    </xf>
    <xf numFmtId="0" fontId="27" fillId="0" borderId="0" xfId="0" applyFont="1" applyAlignment="1">
      <alignment horizontal="center" vertical="center" wrapText="1"/>
    </xf>
    <xf numFmtId="0" fontId="0" fillId="0" borderId="13" xfId="0" applyBorder="1" applyAlignment="1">
      <alignment vertical="center" wrapText="1"/>
    </xf>
    <xf numFmtId="0" fontId="0" fillId="0" borderId="5" xfId="0" applyBorder="1" applyAlignment="1">
      <alignment vertical="center" wrapText="1"/>
    </xf>
    <xf numFmtId="0" fontId="20" fillId="0" borderId="4" xfId="0" applyFont="1" applyBorder="1" applyAlignment="1">
      <alignment vertical="center" wrapText="1"/>
    </xf>
    <xf numFmtId="166" fontId="30" fillId="0" borderId="0" xfId="0" applyNumberFormat="1" applyFont="1" applyAlignment="1">
      <alignment horizontal="center" vertical="center" wrapText="1"/>
    </xf>
    <xf numFmtId="0" fontId="30" fillId="0" borderId="0" xfId="0" applyFont="1" applyAlignment="1">
      <alignment horizontal="center" vertical="center" wrapText="1"/>
    </xf>
    <xf numFmtId="0" fontId="0" fillId="0" borderId="10" xfId="0" applyBorder="1" applyAlignment="1">
      <alignment horizontal="right"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17" fillId="0" borderId="1" xfId="0" applyFont="1" applyBorder="1" applyAlignment="1">
      <alignment horizontal="center" vertical="center" wrapText="1"/>
    </xf>
    <xf numFmtId="1" fontId="30" fillId="0" borderId="51" xfId="0" applyNumberFormat="1" applyFont="1" applyBorder="1" applyAlignment="1">
      <alignment horizontal="center" vertical="center" wrapText="1"/>
    </xf>
    <xf numFmtId="1" fontId="30" fillId="0" borderId="52" xfId="0" applyNumberFormat="1" applyFont="1" applyBorder="1" applyAlignment="1">
      <alignment horizontal="center" vertical="center" wrapText="1"/>
    </xf>
    <xf numFmtId="2" fontId="30" fillId="0" borderId="51" xfId="0" applyNumberFormat="1" applyFont="1" applyBorder="1" applyAlignment="1">
      <alignment horizontal="center" vertical="center" wrapText="1"/>
    </xf>
    <xf numFmtId="2" fontId="0" fillId="0" borderId="52" xfId="0" applyNumberFormat="1" applyBorder="1" applyAlignment="1">
      <alignment horizontal="center" vertical="center" wrapText="1"/>
    </xf>
    <xf numFmtId="2" fontId="0" fillId="0" borderId="53" xfId="0" applyNumberFormat="1" applyBorder="1" applyAlignment="1">
      <alignment horizontal="center" vertical="center" wrapText="1"/>
    </xf>
    <xf numFmtId="2" fontId="0" fillId="0" borderId="54" xfId="0" applyNumberFormat="1" applyBorder="1" applyAlignment="1">
      <alignment horizontal="center" vertical="center" wrapText="1"/>
    </xf>
    <xf numFmtId="0" fontId="13" fillId="0" borderId="60" xfId="0" applyFont="1" applyBorder="1" applyAlignment="1">
      <alignment vertical="center" wrapText="1"/>
    </xf>
    <xf numFmtId="0" fontId="0" fillId="0" borderId="60" xfId="0" applyBorder="1" applyAlignment="1">
      <alignment vertical="center" wrapText="1"/>
    </xf>
  </cellXfs>
  <cellStyles count="2">
    <cellStyle name="Обычный" xfId="0" builtinId="0"/>
    <cellStyle name="Обычный 2" xfId="1"/>
  </cellStyles>
  <dxfs count="0"/>
  <tableStyles count="0" defaultTableStyle="TableStyleMedium2" defaultPivotStyle="PivotStyleMedium9"/>
  <colors>
    <mruColors>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R417"/>
  <sheetViews>
    <sheetView view="pageBreakPreview" zoomScale="70" zoomScaleNormal="70" zoomScaleSheetLayoutView="70" zoomScalePageLayoutView="75" workbookViewId="0">
      <selection activeCell="G6" sqref="G6"/>
    </sheetView>
  </sheetViews>
  <sheetFormatPr defaultRowHeight="16.5" outlineLevelRow="1" x14ac:dyDescent="0.25"/>
  <cols>
    <col min="1" max="1" width="15" style="251" customWidth="1"/>
    <col min="2" max="2" width="70.85546875" style="251" customWidth="1"/>
    <col min="3" max="3" width="22.7109375" style="1" customWidth="1"/>
    <col min="4" max="7" width="13.7109375" style="1" customWidth="1"/>
    <col min="8" max="10" width="23.7109375" style="252" customWidth="1"/>
    <col min="11" max="11" width="23.7109375" style="454" customWidth="1"/>
    <col min="12" max="13" width="23.7109375" style="252" customWidth="1"/>
    <col min="14" max="14" width="24.7109375" style="253" customWidth="1"/>
    <col min="15" max="16" width="21.7109375" style="251" customWidth="1"/>
    <col min="17" max="17" width="21.28515625" style="251" bestFit="1" customWidth="1"/>
    <col min="18" max="18" width="15.28515625" style="251" customWidth="1"/>
    <col min="19" max="19" width="18.5703125" style="251" customWidth="1"/>
    <col min="20" max="16384" width="9.140625" style="251"/>
  </cols>
  <sheetData>
    <row r="2" spans="2:15" ht="21" outlineLevel="1" x14ac:dyDescent="0.25">
      <c r="J2" s="672" t="s">
        <v>262</v>
      </c>
      <c r="K2" s="673"/>
      <c r="L2" s="673"/>
      <c r="M2" s="673"/>
    </row>
    <row r="3" spans="2:15" ht="21" outlineLevel="1" x14ac:dyDescent="0.25">
      <c r="J3" s="672" t="s">
        <v>135</v>
      </c>
      <c r="K3" s="673"/>
      <c r="L3" s="673"/>
      <c r="M3" s="673"/>
    </row>
    <row r="4" spans="2:15" ht="21" outlineLevel="1" x14ac:dyDescent="0.25">
      <c r="J4" s="672" t="s">
        <v>125</v>
      </c>
      <c r="K4" s="673"/>
      <c r="L4" s="673"/>
      <c r="M4" s="673"/>
    </row>
    <row r="5" spans="2:15" ht="21" outlineLevel="1" x14ac:dyDescent="0.25">
      <c r="J5" s="672" t="s">
        <v>879</v>
      </c>
      <c r="K5" s="673"/>
      <c r="L5" s="673"/>
      <c r="M5" s="673"/>
    </row>
    <row r="6" spans="2:15" ht="20.25" x14ac:dyDescent="0.25">
      <c r="G6" s="34"/>
      <c r="J6" s="254"/>
      <c r="K6" s="452"/>
      <c r="L6" s="254"/>
      <c r="M6" s="254"/>
      <c r="O6" s="250"/>
    </row>
    <row r="7" spans="2:15" ht="21" x14ac:dyDescent="0.25">
      <c r="G7" s="34"/>
      <c r="J7" s="672" t="s">
        <v>79</v>
      </c>
      <c r="K7" s="673"/>
      <c r="L7" s="673"/>
      <c r="M7" s="673"/>
      <c r="N7" s="249"/>
    </row>
    <row r="8" spans="2:15" ht="21" x14ac:dyDescent="0.25">
      <c r="G8" s="34"/>
      <c r="J8" s="672" t="s">
        <v>80</v>
      </c>
      <c r="K8" s="673"/>
      <c r="L8" s="673"/>
      <c r="M8" s="673"/>
      <c r="N8" s="249"/>
      <c r="O8" s="250"/>
    </row>
    <row r="9" spans="2:15" ht="21" x14ac:dyDescent="0.25">
      <c r="G9" s="34"/>
      <c r="J9" s="672" t="s">
        <v>81</v>
      </c>
      <c r="K9" s="673"/>
      <c r="L9" s="673"/>
      <c r="M9" s="673"/>
      <c r="N9" s="249"/>
      <c r="O9" s="250"/>
    </row>
    <row r="10" spans="2:15" ht="21" x14ac:dyDescent="0.25">
      <c r="G10" s="34"/>
      <c r="J10" s="672" t="s">
        <v>82</v>
      </c>
      <c r="K10" s="673"/>
      <c r="L10" s="673"/>
      <c r="M10" s="673"/>
      <c r="N10" s="249"/>
      <c r="O10" s="250"/>
    </row>
    <row r="11" spans="2:15" x14ac:dyDescent="0.25">
      <c r="K11" s="453"/>
      <c r="L11" s="237"/>
      <c r="M11" s="237"/>
      <c r="N11" s="249"/>
      <c r="O11" s="250"/>
    </row>
    <row r="12" spans="2:15" ht="24" customHeight="1" x14ac:dyDescent="0.25">
      <c r="B12" s="688" t="s">
        <v>83</v>
      </c>
      <c r="C12" s="689"/>
      <c r="D12" s="689"/>
      <c r="E12" s="689"/>
      <c r="F12" s="689"/>
      <c r="G12" s="689"/>
      <c r="H12" s="689"/>
      <c r="I12" s="689"/>
      <c r="J12" s="689"/>
      <c r="K12" s="689"/>
      <c r="L12" s="689"/>
      <c r="M12" s="689"/>
      <c r="N12" s="249"/>
      <c r="O12" s="250"/>
    </row>
    <row r="13" spans="2:15" ht="24" customHeight="1" x14ac:dyDescent="0.25">
      <c r="B13" s="688" t="s">
        <v>84</v>
      </c>
      <c r="C13" s="689"/>
      <c r="D13" s="689"/>
      <c r="E13" s="689"/>
      <c r="F13" s="689"/>
      <c r="G13" s="689"/>
      <c r="H13" s="689"/>
      <c r="I13" s="689"/>
      <c r="J13" s="689"/>
      <c r="K13" s="689"/>
      <c r="L13" s="689"/>
      <c r="M13" s="689"/>
    </row>
    <row r="14" spans="2:15" ht="17.25" thickBot="1" x14ac:dyDescent="0.3"/>
    <row r="15" spans="2:15" s="255" customFormat="1" ht="36" customHeight="1" x14ac:dyDescent="0.25">
      <c r="B15" s="722" t="s">
        <v>0</v>
      </c>
      <c r="C15" s="724" t="s">
        <v>1</v>
      </c>
      <c r="D15" s="726" t="s">
        <v>2</v>
      </c>
      <c r="E15" s="727"/>
      <c r="F15" s="728" t="s">
        <v>4</v>
      </c>
      <c r="G15" s="729"/>
      <c r="H15" s="732" t="s">
        <v>5</v>
      </c>
      <c r="I15" s="733"/>
      <c r="J15" s="733"/>
      <c r="K15" s="733"/>
      <c r="L15" s="733"/>
      <c r="M15" s="734"/>
    </row>
    <row r="16" spans="2:15" ht="32.25" thickBot="1" x14ac:dyDescent="0.3">
      <c r="B16" s="723"/>
      <c r="C16" s="725"/>
      <c r="D16" s="256" t="s">
        <v>3</v>
      </c>
      <c r="E16" s="257" t="s">
        <v>17</v>
      </c>
      <c r="F16" s="730"/>
      <c r="G16" s="731"/>
      <c r="H16" s="258" t="s">
        <v>134</v>
      </c>
      <c r="I16" s="258" t="s">
        <v>6</v>
      </c>
      <c r="J16" s="258" t="s">
        <v>18</v>
      </c>
      <c r="K16" s="455" t="s">
        <v>19</v>
      </c>
      <c r="L16" s="258" t="s">
        <v>20</v>
      </c>
      <c r="M16" s="259" t="s">
        <v>21</v>
      </c>
    </row>
    <row r="17" spans="2:18" s="266" customFormat="1" ht="17.25" thickBot="1" x14ac:dyDescent="0.3">
      <c r="B17" s="260">
        <v>1</v>
      </c>
      <c r="C17" s="261">
        <v>2</v>
      </c>
      <c r="D17" s="261">
        <v>3</v>
      </c>
      <c r="E17" s="262">
        <v>4</v>
      </c>
      <c r="F17" s="263">
        <v>5</v>
      </c>
      <c r="G17" s="261">
        <v>6</v>
      </c>
      <c r="H17" s="264">
        <v>7</v>
      </c>
      <c r="I17" s="264">
        <v>8</v>
      </c>
      <c r="J17" s="264">
        <v>9</v>
      </c>
      <c r="K17" s="456">
        <v>10</v>
      </c>
      <c r="L17" s="264">
        <v>11</v>
      </c>
      <c r="M17" s="265">
        <v>12</v>
      </c>
    </row>
    <row r="18" spans="2:18" ht="19.5" customHeight="1" x14ac:dyDescent="0.25">
      <c r="B18" s="527" t="s">
        <v>7</v>
      </c>
      <c r="C18" s="649" t="s">
        <v>662</v>
      </c>
      <c r="D18" s="676">
        <v>2022</v>
      </c>
      <c r="E18" s="679">
        <v>2026</v>
      </c>
      <c r="F18" s="682" t="s">
        <v>75</v>
      </c>
      <c r="G18" s="683"/>
      <c r="H18" s="528">
        <f>SUM(H20:H24)</f>
        <v>11454022.18460216</v>
      </c>
      <c r="I18" s="457">
        <f t="shared" ref="I18:M18" si="0">SUM(I20:I24)</f>
        <v>2358972.9104914097</v>
      </c>
      <c r="J18" s="457">
        <f t="shared" si="0"/>
        <v>3491085.714027327</v>
      </c>
      <c r="K18" s="457">
        <f>SUM(K20:K24)</f>
        <v>1993660.9945707808</v>
      </c>
      <c r="L18" s="457">
        <f t="shared" si="0"/>
        <v>2095606.8483317341</v>
      </c>
      <c r="M18" s="529">
        <f t="shared" si="0"/>
        <v>1514695.7171809091</v>
      </c>
      <c r="N18" s="249">
        <f>SUM(I18:M18)</f>
        <v>11454022.184602162</v>
      </c>
    </row>
    <row r="19" spans="2:18" ht="19.5" customHeight="1" x14ac:dyDescent="0.25">
      <c r="B19" s="530" t="s">
        <v>8</v>
      </c>
      <c r="C19" s="674"/>
      <c r="D19" s="677"/>
      <c r="E19" s="680"/>
      <c r="F19" s="684"/>
      <c r="G19" s="685"/>
      <c r="H19" s="531"/>
      <c r="I19" s="668"/>
      <c r="J19" s="669"/>
      <c r="K19" s="669"/>
      <c r="L19" s="669"/>
      <c r="M19" s="670"/>
    </row>
    <row r="20" spans="2:18" ht="19.5" customHeight="1" x14ac:dyDescent="0.25">
      <c r="B20" s="492" t="s">
        <v>77</v>
      </c>
      <c r="C20" s="674"/>
      <c r="D20" s="677"/>
      <c r="E20" s="680"/>
      <c r="F20" s="684"/>
      <c r="G20" s="685"/>
      <c r="H20" s="532">
        <f t="shared" ref="H20:M20" si="1">H36+H134+H163+H200+H209+H236+H228+H401</f>
        <v>2122468.7600100003</v>
      </c>
      <c r="I20" s="458">
        <f t="shared" si="1"/>
        <v>450746.06000999996</v>
      </c>
      <c r="J20" s="458">
        <f t="shared" si="1"/>
        <v>1541309.7</v>
      </c>
      <c r="K20" s="458">
        <f t="shared" si="1"/>
        <v>26478.2</v>
      </c>
      <c r="L20" s="458">
        <f t="shared" si="1"/>
        <v>23307.7</v>
      </c>
      <c r="M20" s="533">
        <f t="shared" si="1"/>
        <v>80627.100000000006</v>
      </c>
      <c r="N20" s="249">
        <f>SUM(I20:M20)</f>
        <v>2122468.7600099999</v>
      </c>
    </row>
    <row r="21" spans="2:18" ht="19.5" customHeight="1" x14ac:dyDescent="0.25">
      <c r="B21" s="492" t="s">
        <v>505</v>
      </c>
      <c r="C21" s="674"/>
      <c r="D21" s="677"/>
      <c r="E21" s="680"/>
      <c r="F21" s="684"/>
      <c r="G21" s="685"/>
      <c r="H21" s="532">
        <f t="shared" ref="H21:M21" si="2">H164</f>
        <v>0</v>
      </c>
      <c r="I21" s="458">
        <f t="shared" si="2"/>
        <v>0</v>
      </c>
      <c r="J21" s="458">
        <f t="shared" si="2"/>
        <v>0</v>
      </c>
      <c r="K21" s="458">
        <f t="shared" si="2"/>
        <v>0</v>
      </c>
      <c r="L21" s="458">
        <f t="shared" si="2"/>
        <v>0</v>
      </c>
      <c r="M21" s="533">
        <f t="shared" si="2"/>
        <v>0</v>
      </c>
      <c r="N21" s="249">
        <f>SUM(I21:M21)</f>
        <v>0</v>
      </c>
    </row>
    <row r="22" spans="2:18" x14ac:dyDescent="0.25">
      <c r="B22" s="492" t="s">
        <v>9</v>
      </c>
      <c r="C22" s="674"/>
      <c r="D22" s="677"/>
      <c r="E22" s="680"/>
      <c r="F22" s="684"/>
      <c r="G22" s="685"/>
      <c r="H22" s="532">
        <f t="shared" ref="H22:M23" si="3">H37+H135+H165+H201+H210+H237+H229+H402</f>
        <v>8578514.8634153251</v>
      </c>
      <c r="I22" s="458">
        <f t="shared" si="3"/>
        <v>1845312.5504818829</v>
      </c>
      <c r="J22" s="458">
        <f t="shared" si="3"/>
        <v>1904937.4968870541</v>
      </c>
      <c r="K22" s="458">
        <f t="shared" si="3"/>
        <v>1819951.616043773</v>
      </c>
      <c r="L22" s="458">
        <f t="shared" si="3"/>
        <v>1599354.6000028169</v>
      </c>
      <c r="M22" s="533">
        <f t="shared" si="3"/>
        <v>1408958.5999997999</v>
      </c>
      <c r="N22" s="249">
        <f>SUM(I22:M22)</f>
        <v>8578514.8634153269</v>
      </c>
      <c r="O22" s="250"/>
    </row>
    <row r="23" spans="2:18" x14ac:dyDescent="0.25">
      <c r="B23" s="492" t="s">
        <v>10</v>
      </c>
      <c r="C23" s="675"/>
      <c r="D23" s="678"/>
      <c r="E23" s="681"/>
      <c r="F23" s="686"/>
      <c r="G23" s="687"/>
      <c r="H23" s="532">
        <f t="shared" si="3"/>
        <v>753038.56117683428</v>
      </c>
      <c r="I23" s="458">
        <f t="shared" si="3"/>
        <v>62914.299999526796</v>
      </c>
      <c r="J23" s="458">
        <f t="shared" si="3"/>
        <v>44838.517140273201</v>
      </c>
      <c r="K23" s="458">
        <f t="shared" si="3"/>
        <v>147231.17852700778</v>
      </c>
      <c r="L23" s="458">
        <f t="shared" si="3"/>
        <v>472944.54832891736</v>
      </c>
      <c r="M23" s="533">
        <f t="shared" si="3"/>
        <v>25110.017181109088</v>
      </c>
      <c r="N23" s="249">
        <f>SUM(I23:M23)</f>
        <v>753038.56117683416</v>
      </c>
      <c r="O23" s="250"/>
    </row>
    <row r="24" spans="2:18" ht="17.25" x14ac:dyDescent="0.25">
      <c r="B24" s="735"/>
      <c r="C24" s="665"/>
      <c r="D24" s="665"/>
      <c r="E24" s="665"/>
      <c r="F24" s="665"/>
      <c r="G24" s="665"/>
      <c r="H24" s="665"/>
      <c r="I24" s="665"/>
      <c r="J24" s="665"/>
      <c r="K24" s="665"/>
      <c r="L24" s="665"/>
      <c r="M24" s="671"/>
    </row>
    <row r="25" spans="2:18" x14ac:dyDescent="0.25">
      <c r="B25" s="534" t="s">
        <v>129</v>
      </c>
      <c r="C25" s="535"/>
      <c r="D25" s="535"/>
      <c r="E25" s="535"/>
      <c r="F25" s="691" t="s">
        <v>782</v>
      </c>
      <c r="G25" s="696"/>
      <c r="H25" s="474"/>
      <c r="I25" s="474"/>
      <c r="J25" s="474"/>
      <c r="K25" s="459"/>
      <c r="L25" s="476"/>
      <c r="M25" s="536"/>
    </row>
    <row r="26" spans="2:18" ht="112.5" customHeight="1" x14ac:dyDescent="0.25">
      <c r="B26" s="537" t="s">
        <v>148</v>
      </c>
      <c r="C26" s="649" t="s">
        <v>628</v>
      </c>
      <c r="D26" s="538">
        <v>2022</v>
      </c>
      <c r="E26" s="538">
        <v>2026</v>
      </c>
      <c r="F26" s="697"/>
      <c r="G26" s="698"/>
      <c r="H26" s="460">
        <f>SUM(H27:H34)</f>
        <v>5066021.9054657808</v>
      </c>
      <c r="I26" s="460">
        <f>SUM(I27:I34)</f>
        <v>1050538.7186246498</v>
      </c>
      <c r="J26" s="460">
        <f>SUM(J27:J34)</f>
        <v>1032029.666671423</v>
      </c>
      <c r="K26" s="460">
        <f>SUM(K27:K34)</f>
        <v>1165271.7019897073</v>
      </c>
      <c r="L26" s="460">
        <f>SUM(L27:L33)</f>
        <v>909090.90908999997</v>
      </c>
      <c r="M26" s="539">
        <f>SUM(M27:M33)</f>
        <v>909090.90908999997</v>
      </c>
      <c r="N26" s="267">
        <f>SUM(I26:M26)</f>
        <v>5066021.9054657808</v>
      </c>
      <c r="O26" s="250"/>
      <c r="P26" s="250"/>
    </row>
    <row r="27" spans="2:18" x14ac:dyDescent="0.25">
      <c r="B27" s="478" t="s">
        <v>22</v>
      </c>
      <c r="C27" s="674"/>
      <c r="D27" s="540"/>
      <c r="E27" s="540"/>
      <c r="F27" s="541"/>
      <c r="G27" s="542"/>
      <c r="H27" s="543">
        <f>SUM(I27:M27)</f>
        <v>3727042.318127363</v>
      </c>
      <c r="I27" s="461">
        <f>236984.84849-46500-6193.9036+146464.64646+151515.15151515+252525.25253-8268.49506+8771.2788+9549.0833333+17601.221229+2881.2820606-0.0367687-0.0003677-0.0000036-0.0000001+7962.80067+11097.04513-1811.64239+141.96841+837.14223+2938.86994+1163.32+1142.196+876+174.27276+300+41008.68687+14949.49495+5205.84</f>
        <v>851316.32318794972</v>
      </c>
      <c r="J27" s="461">
        <f>330755.59135-13939.3939-6060.606+2300+404040.40404+13939.3939-25252.52525-14000+6060.606+1003-13000-454545.4545455-67747.40961+226424.94949+0.00001+42906.06060606-0.01454545+83131.3131313131+62011.524+6.20177+150972.72312+5003</f>
        <v>734009.36356642307</v>
      </c>
      <c r="K27" s="461">
        <f>330755.59135-62929.2929292929+215030.362883-0.00005+251939.33414-1289.79117171717-12000-10000+22038.45198-95290.65454+68870.61381+0.025121</f>
        <v>707124.64059298998</v>
      </c>
      <c r="L27" s="461">
        <f>330755.59135+404040.40404-35000</f>
        <v>699795.99539000005</v>
      </c>
      <c r="M27" s="544">
        <v>734795.99539000005</v>
      </c>
      <c r="N27" s="268">
        <f>K38-19130.67618</f>
        <v>6030.3009398970316</v>
      </c>
      <c r="O27" s="269"/>
      <c r="Q27" s="250"/>
      <c r="R27" s="250"/>
    </row>
    <row r="28" spans="2:18" x14ac:dyDescent="0.25">
      <c r="B28" s="478" t="s">
        <v>23</v>
      </c>
      <c r="C28" s="674"/>
      <c r="D28" s="540"/>
      <c r="E28" s="540"/>
      <c r="F28" s="541"/>
      <c r="G28" s="542"/>
      <c r="H28" s="543">
        <f t="shared" ref="H28:H33" si="4">SUM(I28:M28)</f>
        <v>406885.91781469999</v>
      </c>
      <c r="I28" s="462">
        <f>48000-5050.50505-682.7165253</f>
        <v>42266.778424700002</v>
      </c>
      <c r="J28" s="462">
        <f>48000-5050.50505+2025.454545</f>
        <v>44974.949495000001</v>
      </c>
      <c r="K28" s="462">
        <f>48000-5050.50505+50505.050505+10000+95290.65454</f>
        <v>198745.199995</v>
      </c>
      <c r="L28" s="462">
        <f>48000-5050.50505+35000</f>
        <v>77949.494949999993</v>
      </c>
      <c r="M28" s="545">
        <f>48000-5050.50505</f>
        <v>42949.49495</v>
      </c>
      <c r="N28" s="270"/>
      <c r="O28" s="269"/>
      <c r="P28" s="250"/>
    </row>
    <row r="29" spans="2:18" x14ac:dyDescent="0.25">
      <c r="B29" s="478" t="s">
        <v>184</v>
      </c>
      <c r="C29" s="674"/>
      <c r="D29" s="540"/>
      <c r="E29" s="540"/>
      <c r="F29" s="541"/>
      <c r="G29" s="542"/>
      <c r="H29" s="543">
        <f t="shared" si="4"/>
        <v>580969.51800000004</v>
      </c>
      <c r="I29" s="462">
        <v>116193.90360000001</v>
      </c>
      <c r="J29" s="462">
        <f>63500+46500+6193.9036</f>
        <v>116193.90360000001</v>
      </c>
      <c r="K29" s="462">
        <f>63500+46500+6193.9036</f>
        <v>116193.90360000001</v>
      </c>
      <c r="L29" s="462">
        <f>63500+46500+6193.9036</f>
        <v>116193.90360000001</v>
      </c>
      <c r="M29" s="545">
        <f>63500+46500+6193.9036</f>
        <v>116193.90360000001</v>
      </c>
      <c r="N29" s="271"/>
      <c r="O29" s="269"/>
    </row>
    <row r="30" spans="2:18" ht="33" x14ac:dyDescent="0.25">
      <c r="B30" s="492" t="s">
        <v>223</v>
      </c>
      <c r="C30" s="674"/>
      <c r="D30" s="540"/>
      <c r="E30" s="540"/>
      <c r="F30" s="541"/>
      <c r="G30" s="542"/>
      <c r="H30" s="543">
        <f t="shared" si="4"/>
        <v>106190.063782</v>
      </c>
      <c r="I30" s="462">
        <f>10000+101.0101-8268.495051-0.00001+8268.49506+50+153.9846+11313.131313-5205.84</f>
        <v>16412.286012</v>
      </c>
      <c r="J30" s="462">
        <f>10000+101.0101+25252.52525+5584.75+6437.0173-6437.0173-5584.75</f>
        <v>35353.535349999998</v>
      </c>
      <c r="K30" s="462">
        <f>'перечень объектов'!C226</f>
        <v>34222.222219999996</v>
      </c>
      <c r="L30" s="462">
        <f>10000+101.0101</f>
        <v>10101.0101</v>
      </c>
      <c r="M30" s="545">
        <f>10000+101.0101</f>
        <v>10101.0101</v>
      </c>
      <c r="N30" s="249"/>
      <c r="P30" s="250"/>
    </row>
    <row r="31" spans="2:18" ht="16.5" customHeight="1" x14ac:dyDescent="0.25">
      <c r="B31" s="492" t="s">
        <v>661</v>
      </c>
      <c r="C31" s="674"/>
      <c r="D31" s="540"/>
      <c r="E31" s="540"/>
      <c r="F31" s="541"/>
      <c r="G31" s="542"/>
      <c r="H31" s="543">
        <f t="shared" si="4"/>
        <v>8642.99</v>
      </c>
      <c r="I31" s="462">
        <v>0</v>
      </c>
      <c r="J31" s="468">
        <v>0</v>
      </c>
      <c r="K31" s="463">
        <f>10000-1357.01</f>
        <v>8642.99</v>
      </c>
      <c r="L31" s="546">
        <v>0</v>
      </c>
      <c r="M31" s="547">
        <v>0</v>
      </c>
      <c r="N31" s="249"/>
      <c r="O31" s="250"/>
      <c r="P31" s="250"/>
    </row>
    <row r="32" spans="2:18" ht="33" x14ac:dyDescent="0.25">
      <c r="B32" s="492" t="s">
        <v>25</v>
      </c>
      <c r="C32" s="674"/>
      <c r="D32" s="540"/>
      <c r="E32" s="540"/>
      <c r="F32" s="541"/>
      <c r="G32" s="542"/>
      <c r="H32" s="543">
        <f t="shared" si="4"/>
        <v>56292.92929</v>
      </c>
      <c r="I32" s="462">
        <f>5050.50505+4040.40404</f>
        <v>9090.9090899999992</v>
      </c>
      <c r="J32" s="466">
        <f>5050.50505+14000+13000</f>
        <v>32050.50505</v>
      </c>
      <c r="K32" s="464">
        <f>5050.50505</f>
        <v>5050.5050499999998</v>
      </c>
      <c r="L32" s="471">
        <v>5050.5050499999998</v>
      </c>
      <c r="M32" s="548">
        <v>5050.5050499999998</v>
      </c>
      <c r="N32" s="249"/>
    </row>
    <row r="33" spans="2:16" x14ac:dyDescent="0.25">
      <c r="B33" s="492" t="s">
        <v>154</v>
      </c>
      <c r="C33" s="674"/>
      <c r="D33" s="540"/>
      <c r="E33" s="540"/>
      <c r="F33" s="541"/>
      <c r="G33" s="542"/>
      <c r="H33" s="543">
        <f t="shared" si="4"/>
        <v>11474.096</v>
      </c>
      <c r="I33" s="468">
        <v>4944.0959999999995</v>
      </c>
      <c r="J33" s="466">
        <v>1700</v>
      </c>
      <c r="K33" s="465">
        <f>5000-170</f>
        <v>4830</v>
      </c>
      <c r="L33" s="466">
        <v>0</v>
      </c>
      <c r="M33" s="483">
        <v>0</v>
      </c>
      <c r="N33" s="249"/>
      <c r="O33" s="273"/>
    </row>
    <row r="34" spans="2:16" x14ac:dyDescent="0.25">
      <c r="B34" s="492" t="s">
        <v>26</v>
      </c>
      <c r="C34" s="675"/>
      <c r="D34" s="540"/>
      <c r="E34" s="540"/>
      <c r="F34" s="541"/>
      <c r="G34" s="542"/>
      <c r="H34" s="543">
        <f>SUM(I34:M34)</f>
        <v>168524.07245171716</v>
      </c>
      <c r="I34" s="466">
        <f>10314.42231</f>
        <v>10314.42231</v>
      </c>
      <c r="J34" s="466">
        <v>67747.409610000002</v>
      </c>
      <c r="K34" s="466">
        <f>1289791.17171717/1000+89172.44936</f>
        <v>90462.240531717165</v>
      </c>
      <c r="L34" s="466">
        <v>0</v>
      </c>
      <c r="M34" s="483">
        <v>0</v>
      </c>
    </row>
    <row r="35" spans="2:16" ht="17.25" x14ac:dyDescent="0.25">
      <c r="B35" s="549" t="s">
        <v>16</v>
      </c>
      <c r="C35" s="540"/>
      <c r="D35" s="540"/>
      <c r="E35" s="540"/>
      <c r="F35" s="541"/>
      <c r="G35" s="542"/>
      <c r="H35" s="736"/>
      <c r="I35" s="737"/>
      <c r="J35" s="737"/>
      <c r="K35" s="737"/>
      <c r="L35" s="737"/>
      <c r="M35" s="738"/>
    </row>
    <row r="36" spans="2:16" x14ac:dyDescent="0.25">
      <c r="B36" s="492" t="s">
        <v>77</v>
      </c>
      <c r="C36" s="540"/>
      <c r="D36" s="540"/>
      <c r="E36" s="540"/>
      <c r="F36" s="541"/>
      <c r="G36" s="542"/>
      <c r="H36" s="466">
        <f>SUM(I36:M36)</f>
        <v>0</v>
      </c>
      <c r="I36" s="466">
        <v>0</v>
      </c>
      <c r="J36" s="466">
        <v>0</v>
      </c>
      <c r="K36" s="466">
        <v>0</v>
      </c>
      <c r="L36" s="466">
        <v>0</v>
      </c>
      <c r="M36" s="483">
        <v>0</v>
      </c>
      <c r="N36" s="249"/>
    </row>
    <row r="37" spans="2:16" x14ac:dyDescent="0.25">
      <c r="B37" s="492" t="s">
        <v>9</v>
      </c>
      <c r="C37" s="540"/>
      <c r="D37" s="540"/>
      <c r="E37" s="540"/>
      <c r="F37" s="541"/>
      <c r="G37" s="542"/>
      <c r="H37" s="466">
        <f>SUM(I37:M37)</f>
        <v>4984475.8248726865</v>
      </c>
      <c r="I37" s="466">
        <v>1027438.6999981229</v>
      </c>
      <c r="J37" s="466">
        <f>'перечень объектов'!F135</f>
        <v>1016756.4000047536</v>
      </c>
      <c r="K37" s="466">
        <f>'перечень объектов'!F216</f>
        <v>1140280.7248698103</v>
      </c>
      <c r="L37" s="466">
        <v>900000</v>
      </c>
      <c r="M37" s="483">
        <v>900000</v>
      </c>
      <c r="N37" s="249">
        <v>1140280.72487</v>
      </c>
      <c r="O37" s="250">
        <f>N37-K37</f>
        <v>1.8975697457790375E-7</v>
      </c>
      <c r="P37" s="274">
        <f>O37+O38</f>
        <v>1.9167371169485227E-7</v>
      </c>
    </row>
    <row r="38" spans="2:16" x14ac:dyDescent="0.25">
      <c r="B38" s="492" t="s">
        <v>10</v>
      </c>
      <c r="C38" s="540"/>
      <c r="D38" s="540"/>
      <c r="E38" s="540"/>
      <c r="F38" s="541"/>
      <c r="G38" s="542"/>
      <c r="H38" s="466">
        <f>SUM(I38:M38)</f>
        <v>82628.06196795663</v>
      </c>
      <c r="I38" s="466">
        <f>23100.0186265268+911.981373</f>
        <v>24011.999999526797</v>
      </c>
      <c r="J38" s="466">
        <f>'перечень объектов'!G135</f>
        <v>15273.266666714633</v>
      </c>
      <c r="K38" s="466">
        <f>'перечень объектов'!G216</f>
        <v>25160.97711989703</v>
      </c>
      <c r="L38" s="466">
        <f>L37/0.99/100</f>
        <v>9090.9090909090901</v>
      </c>
      <c r="M38" s="483">
        <f>M37/0.99/100</f>
        <v>9090.9090909090901</v>
      </c>
      <c r="N38" s="270"/>
      <c r="O38" s="274">
        <f>O37/99</f>
        <v>1.9167371169485226E-9</v>
      </c>
    </row>
    <row r="39" spans="2:16" ht="17.25" x14ac:dyDescent="0.25">
      <c r="B39" s="664"/>
      <c r="C39" s="665"/>
      <c r="D39" s="665"/>
      <c r="E39" s="665"/>
      <c r="F39" s="665"/>
      <c r="G39" s="665"/>
      <c r="H39" s="665"/>
      <c r="I39" s="665"/>
      <c r="J39" s="665"/>
      <c r="K39" s="665"/>
      <c r="L39" s="665"/>
      <c r="M39" s="671"/>
    </row>
    <row r="40" spans="2:16" x14ac:dyDescent="0.25">
      <c r="B40" s="550" t="s">
        <v>130</v>
      </c>
      <c r="C40" s="649" t="s">
        <v>663</v>
      </c>
      <c r="D40" s="551"/>
      <c r="E40" s="551"/>
      <c r="F40" s="661" t="s">
        <v>783</v>
      </c>
      <c r="G40" s="662"/>
      <c r="H40" s="552"/>
      <c r="I40" s="552"/>
      <c r="J40" s="552"/>
      <c r="K40" s="467"/>
      <c r="L40" s="553"/>
      <c r="M40" s="554"/>
    </row>
    <row r="41" spans="2:16" ht="54" customHeight="1" x14ac:dyDescent="0.25">
      <c r="B41" s="704" t="s">
        <v>15</v>
      </c>
      <c r="C41" s="674"/>
      <c r="D41" s="649">
        <v>2022</v>
      </c>
      <c r="E41" s="719">
        <v>2026</v>
      </c>
      <c r="F41" s="663"/>
      <c r="G41" s="662"/>
      <c r="H41" s="747">
        <f>SUM(H44:H132)</f>
        <v>558377.09757000022</v>
      </c>
      <c r="I41" s="655">
        <f>SUM(I44:I132)</f>
        <v>226895.60840999999</v>
      </c>
      <c r="J41" s="655">
        <f>SUM(J44:J132)</f>
        <v>47381.027370000003</v>
      </c>
      <c r="K41" s="655">
        <f>SUM(K44:K132)</f>
        <v>209656.98059999998</v>
      </c>
      <c r="L41" s="655">
        <f>L131</f>
        <v>1425</v>
      </c>
      <c r="M41" s="744">
        <f>SUM(M44:M132)</f>
        <v>3947</v>
      </c>
      <c r="N41" s="249">
        <f>SUM(I41:M41)</f>
        <v>489305.61638000002</v>
      </c>
      <c r="O41" s="250">
        <v>150020.00958000001</v>
      </c>
      <c r="P41" s="250"/>
    </row>
    <row r="42" spans="2:16" ht="18.75" customHeight="1" x14ac:dyDescent="0.25">
      <c r="B42" s="705"/>
      <c r="C42" s="674"/>
      <c r="D42" s="708"/>
      <c r="E42" s="720"/>
      <c r="F42" s="613">
        <f>SUM(F44:F132)</f>
        <v>234559.5</v>
      </c>
      <c r="G42" s="614" t="s">
        <v>94</v>
      </c>
      <c r="H42" s="748"/>
      <c r="I42" s="656"/>
      <c r="J42" s="656"/>
      <c r="K42" s="656"/>
      <c r="L42" s="656"/>
      <c r="M42" s="745"/>
      <c r="N42" s="249">
        <f>K135+K136</f>
        <v>209656.98059999995</v>
      </c>
      <c r="O42" s="250"/>
      <c r="P42" s="250"/>
    </row>
    <row r="43" spans="2:16" ht="18.75" customHeight="1" x14ac:dyDescent="0.25">
      <c r="B43" s="706"/>
      <c r="C43" s="674"/>
      <c r="D43" s="709"/>
      <c r="E43" s="721"/>
      <c r="F43" s="615">
        <f>SUM(G44:G132)</f>
        <v>23.006799999999998</v>
      </c>
      <c r="G43" s="616" t="s">
        <v>105</v>
      </c>
      <c r="H43" s="749"/>
      <c r="I43" s="657"/>
      <c r="J43" s="657"/>
      <c r="K43" s="657"/>
      <c r="L43" s="657"/>
      <c r="M43" s="746"/>
      <c r="N43" s="249"/>
      <c r="O43" s="250"/>
    </row>
    <row r="44" spans="2:16" x14ac:dyDescent="0.25">
      <c r="B44" s="492" t="s">
        <v>153</v>
      </c>
      <c r="C44" s="674"/>
      <c r="D44" s="473"/>
      <c r="E44" s="555"/>
      <c r="F44" s="490" t="s">
        <v>222</v>
      </c>
      <c r="G44" s="556" t="s">
        <v>222</v>
      </c>
      <c r="H44" s="543">
        <f>SUM(I44:M44)</f>
        <v>21875.829000000002</v>
      </c>
      <c r="I44" s="462">
        <f>21875.829-9370.03028</f>
        <v>12505.798720000001</v>
      </c>
      <c r="J44" s="466">
        <v>9370.0302800000009</v>
      </c>
      <c r="K44" s="466">
        <v>0</v>
      </c>
      <c r="L44" s="466">
        <v>0</v>
      </c>
      <c r="M44" s="483">
        <v>0</v>
      </c>
    </row>
    <row r="45" spans="2:16" x14ac:dyDescent="0.25">
      <c r="B45" s="492" t="s">
        <v>151</v>
      </c>
      <c r="C45" s="674"/>
      <c r="D45" s="473"/>
      <c r="E45" s="540"/>
      <c r="F45" s="490">
        <f>15760</f>
        <v>15760</v>
      </c>
      <c r="G45" s="557">
        <f>1.97</f>
        <v>1.97</v>
      </c>
      <c r="H45" s="543">
        <f t="shared" ref="H45:H132" si="5">SUM(I45:M45)</f>
        <v>38647.63392</v>
      </c>
      <c r="I45" s="468">
        <f>40996.9056-40996.9056+43570.4568-4922.82288</f>
        <v>38647.63392</v>
      </c>
      <c r="J45" s="466">
        <v>0</v>
      </c>
      <c r="K45" s="466">
        <v>0</v>
      </c>
      <c r="L45" s="466">
        <v>0</v>
      </c>
      <c r="M45" s="483">
        <v>0</v>
      </c>
    </row>
    <row r="46" spans="2:16" ht="18" customHeight="1" x14ac:dyDescent="0.25">
      <c r="B46" s="492" t="s">
        <v>152</v>
      </c>
      <c r="C46" s="674"/>
      <c r="D46" s="473"/>
      <c r="E46" s="540"/>
      <c r="F46" s="490">
        <f>910*8</f>
        <v>7280</v>
      </c>
      <c r="G46" s="557">
        <v>0.91</v>
      </c>
      <c r="H46" s="543">
        <f t="shared" si="5"/>
        <v>9261.9189200000001</v>
      </c>
      <c r="I46" s="468">
        <f>9409.2336-9409.2336+9900.5724-638.65348</f>
        <v>9261.9189200000001</v>
      </c>
      <c r="J46" s="466">
        <v>0</v>
      </c>
      <c r="K46" s="466">
        <v>0</v>
      </c>
      <c r="L46" s="466">
        <v>0</v>
      </c>
      <c r="M46" s="483">
        <v>0</v>
      </c>
    </row>
    <row r="47" spans="2:16" ht="33" x14ac:dyDescent="0.25">
      <c r="B47" s="492" t="s">
        <v>267</v>
      </c>
      <c r="C47" s="674"/>
      <c r="D47" s="473"/>
      <c r="E47" s="540"/>
      <c r="F47" s="490">
        <f>(970*8)/2</f>
        <v>3880</v>
      </c>
      <c r="G47" s="557">
        <f>0.97</f>
        <v>0.97</v>
      </c>
      <c r="H47" s="543">
        <f t="shared" si="5"/>
        <v>11337.800439999992</v>
      </c>
      <c r="I47" s="468">
        <f>59957.1+454.5439-999+0.00558-10700-107-1.07-0.0107-0.00011-28539.168-1572+33608.78788-52102.18855+48548.7648-40383.42241+2416.78801+755.67004</f>
        <v>11337.800439999992</v>
      </c>
      <c r="J47" s="466">
        <v>0</v>
      </c>
      <c r="K47" s="466">
        <v>0</v>
      </c>
      <c r="L47" s="466">
        <v>0</v>
      </c>
      <c r="M47" s="483">
        <v>0</v>
      </c>
      <c r="N47" s="249"/>
    </row>
    <row r="48" spans="2:16" x14ac:dyDescent="0.25">
      <c r="B48" s="492" t="s">
        <v>185</v>
      </c>
      <c r="C48" s="674"/>
      <c r="D48" s="473"/>
      <c r="E48" s="540"/>
      <c r="F48" s="490">
        <f>180*8</f>
        <v>1440</v>
      </c>
      <c r="G48" s="557">
        <v>0.18</v>
      </c>
      <c r="H48" s="543">
        <f t="shared" si="5"/>
        <v>1703.5781199999999</v>
      </c>
      <c r="I48" s="468">
        <v>1703.5781199999999</v>
      </c>
      <c r="J48" s="466">
        <v>0</v>
      </c>
      <c r="K48" s="466">
        <v>0</v>
      </c>
      <c r="L48" s="466">
        <v>0</v>
      </c>
      <c r="M48" s="483">
        <v>0</v>
      </c>
    </row>
    <row r="49" spans="2:15" x14ac:dyDescent="0.25">
      <c r="B49" s="492" t="s">
        <v>224</v>
      </c>
      <c r="C49" s="674"/>
      <c r="D49" s="473"/>
      <c r="E49" s="540"/>
      <c r="F49" s="490">
        <f>4566.1</f>
        <v>4566.1000000000004</v>
      </c>
      <c r="G49" s="557">
        <v>0.45</v>
      </c>
      <c r="H49" s="543">
        <f t="shared" si="5"/>
        <v>6061.13562</v>
      </c>
      <c r="I49" s="468">
        <f>6303.57202-242.4364</f>
        <v>6061.13562</v>
      </c>
      <c r="J49" s="468">
        <v>0</v>
      </c>
      <c r="K49" s="468">
        <v>0</v>
      </c>
      <c r="L49" s="468">
        <v>0</v>
      </c>
      <c r="M49" s="483">
        <v>0</v>
      </c>
      <c r="O49" s="274"/>
    </row>
    <row r="50" spans="2:15" x14ac:dyDescent="0.25">
      <c r="B50" s="492" t="s">
        <v>265</v>
      </c>
      <c r="C50" s="674"/>
      <c r="D50" s="473"/>
      <c r="E50" s="540"/>
      <c r="F50" s="490">
        <v>2240</v>
      </c>
      <c r="G50" s="557">
        <v>0.25</v>
      </c>
      <c r="H50" s="543">
        <f t="shared" si="5"/>
        <v>6500</v>
      </c>
      <c r="I50" s="468">
        <v>6500</v>
      </c>
      <c r="J50" s="468">
        <v>0</v>
      </c>
      <c r="K50" s="468">
        <v>0</v>
      </c>
      <c r="L50" s="468">
        <v>0</v>
      </c>
      <c r="M50" s="558">
        <v>0</v>
      </c>
    </row>
    <row r="51" spans="2:15" ht="33" x14ac:dyDescent="0.25">
      <c r="B51" s="492" t="s">
        <v>299</v>
      </c>
      <c r="C51" s="674"/>
      <c r="D51" s="473"/>
      <c r="E51" s="540"/>
      <c r="F51" s="490">
        <v>7245</v>
      </c>
      <c r="G51" s="557">
        <v>0.54400000000000004</v>
      </c>
      <c r="H51" s="543">
        <f t="shared" si="5"/>
        <v>8709.3001899999999</v>
      </c>
      <c r="I51" s="468">
        <v>8709.3001899999999</v>
      </c>
      <c r="J51" s="468">
        <v>0</v>
      </c>
      <c r="K51" s="468">
        <v>0</v>
      </c>
      <c r="L51" s="468">
        <v>0</v>
      </c>
      <c r="M51" s="558">
        <v>0</v>
      </c>
    </row>
    <row r="52" spans="2:15" ht="33" x14ac:dyDescent="0.25">
      <c r="B52" s="492" t="s">
        <v>288</v>
      </c>
      <c r="C52" s="674"/>
      <c r="D52" s="473"/>
      <c r="E52" s="540"/>
      <c r="F52" s="490">
        <v>9429</v>
      </c>
      <c r="G52" s="557">
        <v>0.371</v>
      </c>
      <c r="H52" s="543">
        <f t="shared" si="5"/>
        <v>8580.8336600000002</v>
      </c>
      <c r="I52" s="468">
        <v>8580.8336600000002</v>
      </c>
      <c r="J52" s="468">
        <v>0</v>
      </c>
      <c r="K52" s="468">
        <v>0</v>
      </c>
      <c r="L52" s="468">
        <v>0</v>
      </c>
      <c r="M52" s="558">
        <v>0</v>
      </c>
    </row>
    <row r="53" spans="2:15" x14ac:dyDescent="0.25">
      <c r="B53" s="492" t="s">
        <v>289</v>
      </c>
      <c r="C53" s="674"/>
      <c r="D53" s="473"/>
      <c r="E53" s="540"/>
      <c r="F53" s="490">
        <v>10756</v>
      </c>
      <c r="G53" s="557">
        <v>1.47</v>
      </c>
      <c r="H53" s="543">
        <f t="shared" si="5"/>
        <v>15231.91966</v>
      </c>
      <c r="I53" s="468">
        <v>15231.91966</v>
      </c>
      <c r="J53" s="468">
        <v>0</v>
      </c>
      <c r="K53" s="468">
        <v>0</v>
      </c>
      <c r="L53" s="468">
        <v>0</v>
      </c>
      <c r="M53" s="558">
        <v>0</v>
      </c>
    </row>
    <row r="54" spans="2:15" x14ac:dyDescent="0.25">
      <c r="B54" s="492" t="s">
        <v>165</v>
      </c>
      <c r="C54" s="674"/>
      <c r="D54" s="473"/>
      <c r="E54" s="540"/>
      <c r="F54" s="490">
        <v>9684</v>
      </c>
      <c r="G54" s="557">
        <v>1.29</v>
      </c>
      <c r="H54" s="543">
        <f t="shared" si="5"/>
        <v>13849.912850000001</v>
      </c>
      <c r="I54" s="468">
        <v>13849.912850000001</v>
      </c>
      <c r="J54" s="468">
        <v>0</v>
      </c>
      <c r="K54" s="468">
        <v>0</v>
      </c>
      <c r="L54" s="468">
        <v>0</v>
      </c>
      <c r="M54" s="558">
        <v>0</v>
      </c>
    </row>
    <row r="55" spans="2:15" x14ac:dyDescent="0.25">
      <c r="B55" s="492" t="s">
        <v>290</v>
      </c>
      <c r="C55" s="674"/>
      <c r="D55" s="473"/>
      <c r="E55" s="540"/>
      <c r="F55" s="490">
        <v>7256</v>
      </c>
      <c r="G55" s="557">
        <v>1.3</v>
      </c>
      <c r="H55" s="543">
        <f t="shared" si="5"/>
        <v>10413.80616</v>
      </c>
      <c r="I55" s="468">
        <v>10413.80616</v>
      </c>
      <c r="J55" s="468">
        <v>0</v>
      </c>
      <c r="K55" s="468">
        <v>0</v>
      </c>
      <c r="L55" s="468">
        <v>0</v>
      </c>
      <c r="M55" s="558">
        <v>0</v>
      </c>
    </row>
    <row r="56" spans="2:15" ht="132" x14ac:dyDescent="0.25">
      <c r="B56" s="492" t="s">
        <v>300</v>
      </c>
      <c r="C56" s="674"/>
      <c r="D56" s="473"/>
      <c r="E56" s="540"/>
      <c r="F56" s="490" t="s">
        <v>222</v>
      </c>
      <c r="G56" s="482" t="s">
        <v>222</v>
      </c>
      <c r="H56" s="543">
        <f t="shared" si="5"/>
        <v>4069.5383900000002</v>
      </c>
      <c r="I56" s="468">
        <v>4069.5383900000002</v>
      </c>
      <c r="J56" s="468">
        <v>0</v>
      </c>
      <c r="K56" s="468">
        <v>0</v>
      </c>
      <c r="L56" s="468">
        <v>0</v>
      </c>
      <c r="M56" s="558">
        <v>0</v>
      </c>
      <c r="N56" s="249"/>
      <c r="O56" s="269"/>
    </row>
    <row r="57" spans="2:15" ht="18" hidden="1" customHeight="1" outlineLevel="1" x14ac:dyDescent="0.25">
      <c r="B57" s="492" t="s">
        <v>301</v>
      </c>
      <c r="C57" s="674"/>
      <c r="D57" s="540"/>
      <c r="E57" s="540"/>
      <c r="F57" s="490"/>
      <c r="G57" s="557"/>
      <c r="H57" s="543">
        <f t="shared" si="5"/>
        <v>0</v>
      </c>
      <c r="I57" s="468">
        <f>15000-15000</f>
        <v>0</v>
      </c>
      <c r="J57" s="468">
        <v>0</v>
      </c>
      <c r="K57" s="468">
        <v>0</v>
      </c>
      <c r="L57" s="468">
        <v>0</v>
      </c>
      <c r="M57" s="558">
        <v>0</v>
      </c>
      <c r="N57" s="249">
        <f>D48+D51+D52</f>
        <v>0</v>
      </c>
      <c r="O57" s="250"/>
    </row>
    <row r="58" spans="2:15" ht="18" hidden="1" customHeight="1" outlineLevel="1" x14ac:dyDescent="0.25">
      <c r="B58" s="492" t="s">
        <v>668</v>
      </c>
      <c r="C58" s="674"/>
      <c r="D58" s="540"/>
      <c r="E58" s="540"/>
      <c r="F58" s="490"/>
      <c r="G58" s="557"/>
      <c r="H58" s="543">
        <f t="shared" si="5"/>
        <v>0</v>
      </c>
      <c r="I58" s="468">
        <v>0</v>
      </c>
      <c r="J58" s="468">
        <v>0</v>
      </c>
      <c r="K58" s="468">
        <f>2893.69738-2893.69738</f>
        <v>0</v>
      </c>
      <c r="L58" s="468">
        <v>0</v>
      </c>
      <c r="M58" s="558">
        <v>0</v>
      </c>
      <c r="N58" s="249"/>
      <c r="O58" s="250"/>
    </row>
    <row r="59" spans="2:15" ht="18" hidden="1" customHeight="1" outlineLevel="1" x14ac:dyDescent="0.25">
      <c r="B59" s="492" t="s">
        <v>669</v>
      </c>
      <c r="C59" s="674"/>
      <c r="D59" s="540"/>
      <c r="E59" s="540"/>
      <c r="F59" s="490"/>
      <c r="G59" s="557"/>
      <c r="H59" s="543">
        <f t="shared" si="5"/>
        <v>0</v>
      </c>
      <c r="I59" s="468">
        <v>0</v>
      </c>
      <c r="J59" s="468">
        <v>0</v>
      </c>
      <c r="K59" s="468">
        <f>7569.79999-7569.79999</f>
        <v>0</v>
      </c>
      <c r="L59" s="468">
        <v>0</v>
      </c>
      <c r="M59" s="558">
        <v>0</v>
      </c>
      <c r="N59" s="249"/>
      <c r="O59" s="250"/>
    </row>
    <row r="60" spans="2:15" ht="33" collapsed="1" x14ac:dyDescent="0.25">
      <c r="B60" s="478" t="s">
        <v>681</v>
      </c>
      <c r="C60" s="674"/>
      <c r="D60" s="540"/>
      <c r="E60" s="540"/>
      <c r="F60" s="490">
        <v>4085</v>
      </c>
      <c r="G60" s="557">
        <v>0.43</v>
      </c>
      <c r="H60" s="543">
        <f t="shared" si="5"/>
        <v>21956.693869999999</v>
      </c>
      <c r="I60" s="468">
        <v>0</v>
      </c>
      <c r="J60" s="468">
        <v>0</v>
      </c>
      <c r="K60" s="468">
        <f>'перечень объектов'!C234</f>
        <v>21956.693869999999</v>
      </c>
      <c r="L60" s="468">
        <v>0</v>
      </c>
      <c r="M60" s="558">
        <v>0</v>
      </c>
      <c r="N60" s="249"/>
      <c r="O60" s="250"/>
    </row>
    <row r="61" spans="2:15" x14ac:dyDescent="0.25">
      <c r="B61" s="478" t="s">
        <v>682</v>
      </c>
      <c r="C61" s="674"/>
      <c r="D61" s="540"/>
      <c r="E61" s="540"/>
      <c r="F61" s="490">
        <v>4568</v>
      </c>
      <c r="G61" s="557">
        <v>0.45</v>
      </c>
      <c r="H61" s="543">
        <f t="shared" si="5"/>
        <v>4144.8359099999998</v>
      </c>
      <c r="I61" s="468">
        <v>0</v>
      </c>
      <c r="J61" s="468">
        <v>0</v>
      </c>
      <c r="K61" s="468">
        <f>'перечень объектов'!C235</f>
        <v>4144.8359099999998</v>
      </c>
      <c r="L61" s="468">
        <v>0</v>
      </c>
      <c r="M61" s="558">
        <v>0</v>
      </c>
      <c r="N61" s="249"/>
      <c r="O61" s="250"/>
    </row>
    <row r="62" spans="2:15" x14ac:dyDescent="0.25">
      <c r="B62" s="478" t="s">
        <v>683</v>
      </c>
      <c r="C62" s="674"/>
      <c r="D62" s="540"/>
      <c r="E62" s="540"/>
      <c r="F62" s="490">
        <v>5895</v>
      </c>
      <c r="G62" s="557">
        <v>0.79</v>
      </c>
      <c r="H62" s="543">
        <f t="shared" si="5"/>
        <v>10589.70054</v>
      </c>
      <c r="I62" s="468">
        <v>0</v>
      </c>
      <c r="J62" s="468">
        <v>0</v>
      </c>
      <c r="K62" s="468">
        <f>'перечень объектов'!C236</f>
        <v>10589.70054</v>
      </c>
      <c r="L62" s="468">
        <v>0</v>
      </c>
      <c r="M62" s="558">
        <v>0</v>
      </c>
      <c r="N62" s="249"/>
      <c r="O62" s="250"/>
    </row>
    <row r="63" spans="2:15" x14ac:dyDescent="0.25">
      <c r="B63" s="478" t="s">
        <v>684</v>
      </c>
      <c r="C63" s="674"/>
      <c r="D63" s="540"/>
      <c r="E63" s="540"/>
      <c r="F63" s="490">
        <v>5320</v>
      </c>
      <c r="G63" s="557">
        <v>0.7</v>
      </c>
      <c r="H63" s="543">
        <f t="shared" si="5"/>
        <v>6271.3200100000004</v>
      </c>
      <c r="I63" s="468">
        <v>0</v>
      </c>
      <c r="J63" s="468">
        <v>0</v>
      </c>
      <c r="K63" s="468">
        <f>'перечень объектов'!C237</f>
        <v>6271.3200100000004</v>
      </c>
      <c r="L63" s="468">
        <v>0</v>
      </c>
      <c r="M63" s="558">
        <v>0</v>
      </c>
      <c r="N63" s="249"/>
      <c r="O63" s="250"/>
    </row>
    <row r="64" spans="2:15" hidden="1" x14ac:dyDescent="0.25">
      <c r="B64" s="478" t="s">
        <v>671</v>
      </c>
      <c r="C64" s="674"/>
      <c r="D64" s="540"/>
      <c r="E64" s="540"/>
      <c r="F64" s="490">
        <v>3285</v>
      </c>
      <c r="G64" s="557">
        <v>0.45</v>
      </c>
      <c r="H64" s="543">
        <f t="shared" si="5"/>
        <v>6200</v>
      </c>
      <c r="I64" s="468">
        <v>0</v>
      </c>
      <c r="J64" s="468">
        <v>0</v>
      </c>
      <c r="K64" s="468">
        <v>0</v>
      </c>
      <c r="L64" s="468">
        <v>6200</v>
      </c>
      <c r="M64" s="558">
        <v>0</v>
      </c>
      <c r="N64" s="249"/>
      <c r="O64" s="250"/>
    </row>
    <row r="65" spans="2:15" hidden="1" x14ac:dyDescent="0.25">
      <c r="B65" s="478" t="s">
        <v>672</v>
      </c>
      <c r="C65" s="674"/>
      <c r="D65" s="540"/>
      <c r="E65" s="540"/>
      <c r="F65" s="490">
        <v>6205</v>
      </c>
      <c r="G65" s="557">
        <v>0.73</v>
      </c>
      <c r="H65" s="543">
        <f t="shared" si="5"/>
        <v>10300</v>
      </c>
      <c r="I65" s="468">
        <v>0</v>
      </c>
      <c r="J65" s="468">
        <v>0</v>
      </c>
      <c r="K65" s="468">
        <v>0</v>
      </c>
      <c r="L65" s="468">
        <f>10300</f>
        <v>10300</v>
      </c>
      <c r="M65" s="558">
        <v>0</v>
      </c>
      <c r="N65" s="249"/>
      <c r="O65" s="250"/>
    </row>
    <row r="66" spans="2:15" hidden="1" x14ac:dyDescent="0.25">
      <c r="B66" s="478" t="s">
        <v>673</v>
      </c>
      <c r="C66" s="674"/>
      <c r="D66" s="540"/>
      <c r="E66" s="540"/>
      <c r="F66" s="490">
        <v>4505</v>
      </c>
      <c r="G66" s="557">
        <v>0.53</v>
      </c>
      <c r="H66" s="543">
        <f t="shared" si="5"/>
        <v>8500</v>
      </c>
      <c r="I66" s="468">
        <v>0</v>
      </c>
      <c r="J66" s="468">
        <v>0</v>
      </c>
      <c r="K66" s="468">
        <v>0</v>
      </c>
      <c r="L66" s="468">
        <v>8500</v>
      </c>
      <c r="M66" s="558">
        <v>0</v>
      </c>
      <c r="N66" s="249"/>
      <c r="O66" s="250"/>
    </row>
    <row r="67" spans="2:15" x14ac:dyDescent="0.25">
      <c r="B67" s="478" t="str">
        <f>'перечень объектов'!B238</f>
        <v xml:space="preserve">ул. Полесская от ул. Максима Горького до ул. Генерала Родина </v>
      </c>
      <c r="C67" s="674"/>
      <c r="D67" s="540"/>
      <c r="E67" s="540"/>
      <c r="F67" s="490">
        <v>18050</v>
      </c>
      <c r="G67" s="559">
        <v>1.1617999999999999</v>
      </c>
      <c r="H67" s="543">
        <f>SUM(I67:M67)</f>
        <v>43794.687839999999</v>
      </c>
      <c r="I67" s="468">
        <v>0</v>
      </c>
      <c r="J67" s="468">
        <v>0</v>
      </c>
      <c r="K67" s="468">
        <f>'перечень объектов'!C238</f>
        <v>43794.687839999999</v>
      </c>
      <c r="L67" s="468">
        <v>0</v>
      </c>
      <c r="M67" s="558">
        <v>0</v>
      </c>
      <c r="N67" s="249"/>
      <c r="O67" s="250"/>
    </row>
    <row r="68" spans="2:15" ht="33" hidden="1" x14ac:dyDescent="0.25">
      <c r="B68" s="478" t="str">
        <f>'перечень объектов'!B350</f>
        <v>ул. Полесская от ул. Максима Горького до ул. Генерала Родина (2 этап)</v>
      </c>
      <c r="C68" s="674"/>
      <c r="D68" s="540"/>
      <c r="E68" s="540"/>
      <c r="F68" s="490"/>
      <c r="G68" s="559"/>
      <c r="H68" s="543">
        <f>SUM(I68:M68)</f>
        <v>10275.92395</v>
      </c>
      <c r="I68" s="468">
        <v>0</v>
      </c>
      <c r="J68" s="468">
        <v>0</v>
      </c>
      <c r="K68" s="468">
        <v>0</v>
      </c>
      <c r="L68" s="468">
        <f>'перечень объектов'!C350</f>
        <v>10275.92395</v>
      </c>
      <c r="M68" s="558">
        <v>0</v>
      </c>
      <c r="N68" s="249"/>
      <c r="O68" s="250"/>
    </row>
    <row r="69" spans="2:15" ht="18" customHeight="1" x14ac:dyDescent="0.25">
      <c r="B69" s="478" t="str">
        <f>'перечень объектов'!B239</f>
        <v>ул. Цветаева от ул. Полесская до Наугорского шоссе</v>
      </c>
      <c r="C69" s="674"/>
      <c r="D69" s="540"/>
      <c r="E69" s="540"/>
      <c r="F69" s="490">
        <v>5228</v>
      </c>
      <c r="G69" s="560">
        <v>0.61499999999999999</v>
      </c>
      <c r="H69" s="543">
        <f t="shared" si="5"/>
        <v>14365.5</v>
      </c>
      <c r="I69" s="468">
        <v>0</v>
      </c>
      <c r="J69" s="468">
        <v>0</v>
      </c>
      <c r="K69" s="468">
        <f>'перечень объектов'!C239</f>
        <v>14365.5</v>
      </c>
      <c r="L69" s="468">
        <v>0</v>
      </c>
      <c r="M69" s="558">
        <v>0</v>
      </c>
      <c r="N69" s="249"/>
      <c r="O69" s="250"/>
    </row>
    <row r="70" spans="2:15" ht="49.5" x14ac:dyDescent="0.25">
      <c r="B70" s="478" t="s">
        <v>674</v>
      </c>
      <c r="C70" s="674"/>
      <c r="D70" s="540"/>
      <c r="E70" s="540"/>
      <c r="F70" s="490">
        <v>6115</v>
      </c>
      <c r="G70" s="557">
        <v>0.63</v>
      </c>
      <c r="H70" s="543">
        <f t="shared" si="5"/>
        <v>3846.40022</v>
      </c>
      <c r="I70" s="468">
        <v>0</v>
      </c>
      <c r="J70" s="468">
        <v>0</v>
      </c>
      <c r="K70" s="468">
        <f>'перечень объектов'!C240</f>
        <v>3846.40022</v>
      </c>
      <c r="L70" s="468">
        <v>0</v>
      </c>
      <c r="M70" s="558">
        <v>0</v>
      </c>
      <c r="N70" s="249"/>
      <c r="O70" s="250"/>
    </row>
    <row r="71" spans="2:15" ht="33" x14ac:dyDescent="0.25">
      <c r="B71" s="478" t="s">
        <v>685</v>
      </c>
      <c r="C71" s="674"/>
      <c r="D71" s="540"/>
      <c r="E71" s="540"/>
      <c r="F71" s="490">
        <v>6890</v>
      </c>
      <c r="G71" s="557">
        <v>0.33200000000000002</v>
      </c>
      <c r="H71" s="543">
        <f t="shared" si="5"/>
        <v>4110.3212299999996</v>
      </c>
      <c r="I71" s="468">
        <v>0</v>
      </c>
      <c r="J71" s="468">
        <v>0</v>
      </c>
      <c r="K71" s="468">
        <f>'перечень объектов'!C241</f>
        <v>4110.3212299999996</v>
      </c>
      <c r="L71" s="468">
        <v>0</v>
      </c>
      <c r="M71" s="558">
        <v>0</v>
      </c>
      <c r="N71" s="249"/>
      <c r="O71" s="250"/>
    </row>
    <row r="72" spans="2:15" x14ac:dyDescent="0.25">
      <c r="B72" s="478" t="s">
        <v>675</v>
      </c>
      <c r="C72" s="674"/>
      <c r="D72" s="540"/>
      <c r="E72" s="540"/>
      <c r="F72" s="490">
        <v>3140</v>
      </c>
      <c r="G72" s="557">
        <v>0.154</v>
      </c>
      <c r="H72" s="543">
        <f t="shared" si="5"/>
        <v>3285.8916300000001</v>
      </c>
      <c r="I72" s="468">
        <v>0</v>
      </c>
      <c r="J72" s="468">
        <v>0</v>
      </c>
      <c r="K72" s="468">
        <f>'перечень объектов'!C242</f>
        <v>3285.8916300000001</v>
      </c>
      <c r="L72" s="468">
        <v>0</v>
      </c>
      <c r="M72" s="558">
        <v>0</v>
      </c>
      <c r="N72" s="249"/>
      <c r="O72" s="250"/>
    </row>
    <row r="73" spans="2:15" hidden="1" x14ac:dyDescent="0.25">
      <c r="B73" s="478" t="s">
        <v>686</v>
      </c>
      <c r="C73" s="674"/>
      <c r="D73" s="540"/>
      <c r="E73" s="540"/>
      <c r="F73" s="490">
        <f>G73*11000</f>
        <v>11010.999999999998</v>
      </c>
      <c r="G73" s="557">
        <v>1.0009999999999999</v>
      </c>
      <c r="H73" s="543">
        <f t="shared" si="5"/>
        <v>33795.557240000002</v>
      </c>
      <c r="I73" s="468">
        <v>0</v>
      </c>
      <c r="J73" s="468">
        <v>0</v>
      </c>
      <c r="K73" s="468">
        <v>0</v>
      </c>
      <c r="L73" s="468">
        <f>'перечень объектов'!C349</f>
        <v>33795.557240000002</v>
      </c>
      <c r="M73" s="558">
        <v>0</v>
      </c>
      <c r="N73" s="249"/>
      <c r="O73" s="464">
        <v>172639.16263790001</v>
      </c>
    </row>
    <row r="74" spans="2:15" ht="33" x14ac:dyDescent="0.25">
      <c r="B74" s="492" t="s">
        <v>687</v>
      </c>
      <c r="C74" s="674"/>
      <c r="D74" s="540"/>
      <c r="E74" s="540"/>
      <c r="F74" s="490">
        <f>2191+300+5456.7+646.7</f>
        <v>8594.4</v>
      </c>
      <c r="G74" s="482" t="s">
        <v>222</v>
      </c>
      <c r="H74" s="465">
        <f>SUM(I74:M74)</f>
        <v>22847.629349999999</v>
      </c>
      <c r="I74" s="468">
        <v>0</v>
      </c>
      <c r="J74" s="469">
        <v>0</v>
      </c>
      <c r="K74" s="466">
        <f>'перечень объектов'!C243</f>
        <v>22847.629349999999</v>
      </c>
      <c r="L74" s="468">
        <v>0</v>
      </c>
      <c r="M74" s="561">
        <v>0</v>
      </c>
      <c r="N74" s="249"/>
      <c r="O74" s="250" t="e">
        <f>#REF!-O73</f>
        <v>#REF!</v>
      </c>
    </row>
    <row r="75" spans="2:15" ht="33" x14ac:dyDescent="0.25">
      <c r="B75" s="492" t="s">
        <v>305</v>
      </c>
      <c r="C75" s="674"/>
      <c r="D75" s="540"/>
      <c r="E75" s="540"/>
      <c r="F75" s="490"/>
      <c r="G75" s="562" t="s">
        <v>490</v>
      </c>
      <c r="H75" s="543">
        <f t="shared" si="5"/>
        <v>770.94519000000003</v>
      </c>
      <c r="I75" s="468">
        <f>27*25.7</f>
        <v>693.9</v>
      </c>
      <c r="J75" s="468">
        <f>25.68173*3</f>
        <v>77.045190000000005</v>
      </c>
      <c r="K75" s="468">
        <v>0</v>
      </c>
      <c r="L75" s="468">
        <v>0</v>
      </c>
      <c r="M75" s="558">
        <v>0</v>
      </c>
      <c r="O75" s="251" t="e">
        <f>O74/99*100</f>
        <v>#REF!</v>
      </c>
    </row>
    <row r="76" spans="2:15" ht="33" x14ac:dyDescent="0.25">
      <c r="B76" s="492" t="s">
        <v>306</v>
      </c>
      <c r="C76" s="674"/>
      <c r="D76" s="540"/>
      <c r="E76" s="540"/>
      <c r="F76" s="490"/>
      <c r="G76" s="562" t="s">
        <v>439</v>
      </c>
      <c r="H76" s="543">
        <f t="shared" si="5"/>
        <v>513.98172999999997</v>
      </c>
      <c r="I76" s="468">
        <f>19*25.7</f>
        <v>488.3</v>
      </c>
      <c r="J76" s="468">
        <f>25.68173*1</f>
        <v>25.681730000000002</v>
      </c>
      <c r="K76" s="468">
        <v>0</v>
      </c>
      <c r="L76" s="468">
        <v>0</v>
      </c>
      <c r="M76" s="558">
        <v>0</v>
      </c>
      <c r="O76" s="251">
        <v>12953.8734667677</v>
      </c>
    </row>
    <row r="77" spans="2:15" ht="33" x14ac:dyDescent="0.25">
      <c r="B77" s="492" t="s">
        <v>307</v>
      </c>
      <c r="C77" s="674"/>
      <c r="D77" s="540"/>
      <c r="E77" s="540"/>
      <c r="F77" s="490"/>
      <c r="G77" s="562" t="s">
        <v>209</v>
      </c>
      <c r="H77" s="543">
        <f t="shared" si="5"/>
        <v>128.5</v>
      </c>
      <c r="I77" s="468">
        <f>5*25.7</f>
        <v>128.5</v>
      </c>
      <c r="J77" s="468">
        <v>0</v>
      </c>
      <c r="K77" s="468">
        <v>0</v>
      </c>
      <c r="L77" s="468">
        <v>0</v>
      </c>
      <c r="M77" s="558">
        <v>0</v>
      </c>
    </row>
    <row r="78" spans="2:15" ht="33" x14ac:dyDescent="0.25">
      <c r="B78" s="492" t="s">
        <v>329</v>
      </c>
      <c r="C78" s="674"/>
      <c r="D78" s="540"/>
      <c r="E78" s="540"/>
      <c r="F78" s="490"/>
      <c r="G78" s="563" t="s">
        <v>334</v>
      </c>
      <c r="H78" s="543">
        <f t="shared" si="5"/>
        <v>77.099999999999994</v>
      </c>
      <c r="I78" s="468">
        <f>3*25.7</f>
        <v>77.099999999999994</v>
      </c>
      <c r="J78" s="468">
        <v>0</v>
      </c>
      <c r="K78" s="468">
        <v>0</v>
      </c>
      <c r="L78" s="468">
        <v>0</v>
      </c>
      <c r="M78" s="558">
        <v>0</v>
      </c>
    </row>
    <row r="79" spans="2:15" ht="33" x14ac:dyDescent="0.25">
      <c r="B79" s="492" t="s">
        <v>331</v>
      </c>
      <c r="C79" s="674"/>
      <c r="D79" s="540"/>
      <c r="E79" s="540"/>
      <c r="F79" s="490"/>
      <c r="G79" s="563" t="s">
        <v>439</v>
      </c>
      <c r="H79" s="543">
        <f t="shared" si="5"/>
        <v>513.70767999999998</v>
      </c>
      <c r="I79" s="468">
        <f>4*25.7</f>
        <v>102.8</v>
      </c>
      <c r="J79" s="468">
        <f>25.68173*16</f>
        <v>410.90768000000003</v>
      </c>
      <c r="K79" s="468">
        <v>0</v>
      </c>
      <c r="L79" s="468">
        <v>0</v>
      </c>
      <c r="M79" s="558">
        <v>0</v>
      </c>
    </row>
    <row r="80" spans="2:15" ht="33" x14ac:dyDescent="0.25">
      <c r="B80" s="492" t="s">
        <v>488</v>
      </c>
      <c r="C80" s="674"/>
      <c r="D80" s="540"/>
      <c r="E80" s="540"/>
      <c r="F80" s="490"/>
      <c r="G80" s="563" t="s">
        <v>205</v>
      </c>
      <c r="H80" s="543">
        <f t="shared" si="5"/>
        <v>25.681730000000002</v>
      </c>
      <c r="I80" s="468">
        <v>0</v>
      </c>
      <c r="J80" s="468">
        <f>25.68173*1</f>
        <v>25.681730000000002</v>
      </c>
      <c r="K80" s="468">
        <v>0</v>
      </c>
      <c r="L80" s="468">
        <v>0</v>
      </c>
      <c r="M80" s="558">
        <v>0</v>
      </c>
    </row>
    <row r="81" spans="2:15" ht="33" x14ac:dyDescent="0.25">
      <c r="B81" s="492" t="s">
        <v>489</v>
      </c>
      <c r="C81" s="674"/>
      <c r="D81" s="540"/>
      <c r="E81" s="540"/>
      <c r="F81" s="490"/>
      <c r="G81" s="563" t="s">
        <v>205</v>
      </c>
      <c r="H81" s="543">
        <f t="shared" si="5"/>
        <v>25.681730000000002</v>
      </c>
      <c r="I81" s="468">
        <v>0</v>
      </c>
      <c r="J81" s="468">
        <f>25.68173*1</f>
        <v>25.681730000000002</v>
      </c>
      <c r="K81" s="468">
        <v>0</v>
      </c>
      <c r="L81" s="468">
        <v>0</v>
      </c>
      <c r="M81" s="558">
        <v>0</v>
      </c>
    </row>
    <row r="82" spans="2:15" ht="33" x14ac:dyDescent="0.25">
      <c r="B82" s="492" t="s">
        <v>332</v>
      </c>
      <c r="C82" s="674"/>
      <c r="D82" s="540"/>
      <c r="E82" s="540"/>
      <c r="F82" s="490"/>
      <c r="G82" s="563" t="s">
        <v>479</v>
      </c>
      <c r="H82" s="543">
        <f t="shared" si="5"/>
        <v>847.78941000000009</v>
      </c>
      <c r="I82" s="468">
        <f>16*25.7</f>
        <v>411.2</v>
      </c>
      <c r="J82" s="468">
        <f>17*25.68173</f>
        <v>436.58941000000004</v>
      </c>
      <c r="K82" s="468">
        <v>0</v>
      </c>
      <c r="L82" s="468">
        <v>0</v>
      </c>
      <c r="M82" s="558">
        <v>0</v>
      </c>
    </row>
    <row r="83" spans="2:15" ht="33" x14ac:dyDescent="0.25">
      <c r="B83" s="492" t="s">
        <v>333</v>
      </c>
      <c r="C83" s="674"/>
      <c r="D83" s="540"/>
      <c r="E83" s="540"/>
      <c r="F83" s="490"/>
      <c r="G83" s="563" t="s">
        <v>334</v>
      </c>
      <c r="H83" s="543">
        <f t="shared" si="5"/>
        <v>77.099999999999994</v>
      </c>
      <c r="I83" s="468">
        <f>3*25.7</f>
        <v>77.099999999999994</v>
      </c>
      <c r="J83" s="468">
        <v>0</v>
      </c>
      <c r="K83" s="468">
        <v>0</v>
      </c>
      <c r="L83" s="468">
        <v>0</v>
      </c>
      <c r="M83" s="558">
        <v>0</v>
      </c>
    </row>
    <row r="84" spans="2:15" ht="33" x14ac:dyDescent="0.25">
      <c r="B84" s="492" t="s">
        <v>335</v>
      </c>
      <c r="C84" s="674"/>
      <c r="D84" s="540"/>
      <c r="E84" s="540"/>
      <c r="F84" s="490"/>
      <c r="G84" s="563" t="s">
        <v>308</v>
      </c>
      <c r="H84" s="543">
        <f t="shared" si="5"/>
        <v>102.8</v>
      </c>
      <c r="I84" s="468">
        <f>4*25.7</f>
        <v>102.8</v>
      </c>
      <c r="J84" s="468">
        <v>0</v>
      </c>
      <c r="K84" s="468">
        <v>0</v>
      </c>
      <c r="L84" s="468">
        <v>0</v>
      </c>
      <c r="M84" s="558">
        <v>0</v>
      </c>
    </row>
    <row r="85" spans="2:15" ht="33" x14ac:dyDescent="0.25">
      <c r="B85" s="492" t="s">
        <v>336</v>
      </c>
      <c r="C85" s="674"/>
      <c r="D85" s="540"/>
      <c r="E85" s="540"/>
      <c r="F85" s="490"/>
      <c r="G85" s="563" t="s">
        <v>308</v>
      </c>
      <c r="H85" s="543">
        <f t="shared" si="5"/>
        <v>102.78173</v>
      </c>
      <c r="I85" s="468">
        <f>3*25.7</f>
        <v>77.099999999999994</v>
      </c>
      <c r="J85" s="468">
        <f>25.68173*1</f>
        <v>25.681730000000002</v>
      </c>
      <c r="K85" s="468">
        <v>0</v>
      </c>
      <c r="L85" s="468">
        <v>0</v>
      </c>
      <c r="M85" s="558">
        <v>0</v>
      </c>
    </row>
    <row r="86" spans="2:15" ht="33" x14ac:dyDescent="0.25">
      <c r="B86" s="492" t="s">
        <v>343</v>
      </c>
      <c r="C86" s="674"/>
      <c r="D86" s="540"/>
      <c r="E86" s="540"/>
      <c r="F86" s="490"/>
      <c r="G86" s="563" t="s">
        <v>334</v>
      </c>
      <c r="H86" s="543">
        <f t="shared" si="5"/>
        <v>77.099999999999994</v>
      </c>
      <c r="I86" s="468">
        <f>3*25.7</f>
        <v>77.099999999999994</v>
      </c>
      <c r="J86" s="468">
        <v>0</v>
      </c>
      <c r="K86" s="468">
        <v>0</v>
      </c>
      <c r="L86" s="468">
        <v>0</v>
      </c>
      <c r="M86" s="558">
        <v>0</v>
      </c>
    </row>
    <row r="87" spans="2:15" ht="33" x14ac:dyDescent="0.25">
      <c r="B87" s="492" t="s">
        <v>337</v>
      </c>
      <c r="C87" s="674"/>
      <c r="D87" s="540"/>
      <c r="E87" s="540"/>
      <c r="F87" s="490"/>
      <c r="G87" s="563" t="s">
        <v>491</v>
      </c>
      <c r="H87" s="543">
        <f t="shared" si="5"/>
        <v>256.92692</v>
      </c>
      <c r="I87" s="468">
        <f>6*25.7</f>
        <v>154.19999999999999</v>
      </c>
      <c r="J87" s="468">
        <f>25.68173*4</f>
        <v>102.72692000000001</v>
      </c>
      <c r="K87" s="468">
        <v>0</v>
      </c>
      <c r="L87" s="468">
        <v>0</v>
      </c>
      <c r="M87" s="558">
        <v>0</v>
      </c>
      <c r="O87" s="269"/>
    </row>
    <row r="88" spans="2:15" ht="33" x14ac:dyDescent="0.25">
      <c r="B88" s="492" t="s">
        <v>339</v>
      </c>
      <c r="C88" s="674"/>
      <c r="D88" s="540"/>
      <c r="E88" s="540"/>
      <c r="F88" s="490"/>
      <c r="G88" s="563" t="s">
        <v>308</v>
      </c>
      <c r="H88" s="543">
        <f t="shared" si="5"/>
        <v>102.78173</v>
      </c>
      <c r="I88" s="468">
        <f>3*25.7</f>
        <v>77.099999999999994</v>
      </c>
      <c r="J88" s="468">
        <f>25.68173*1</f>
        <v>25.681730000000002</v>
      </c>
      <c r="K88" s="468">
        <v>0</v>
      </c>
      <c r="L88" s="468">
        <v>0</v>
      </c>
      <c r="M88" s="558">
        <v>0</v>
      </c>
      <c r="O88" s="269"/>
    </row>
    <row r="89" spans="2:15" ht="33" x14ac:dyDescent="0.25">
      <c r="B89" s="492" t="s">
        <v>340</v>
      </c>
      <c r="C89" s="674"/>
      <c r="D89" s="540"/>
      <c r="E89" s="540"/>
      <c r="F89" s="490"/>
      <c r="G89" s="563" t="s">
        <v>205</v>
      </c>
      <c r="H89" s="543">
        <f t="shared" si="5"/>
        <v>25.7</v>
      </c>
      <c r="I89" s="468">
        <f>1*25.7</f>
        <v>25.7</v>
      </c>
      <c r="J89" s="468">
        <v>0</v>
      </c>
      <c r="K89" s="468">
        <v>0</v>
      </c>
      <c r="L89" s="468">
        <v>0</v>
      </c>
      <c r="M89" s="558">
        <v>0</v>
      </c>
      <c r="O89" s="269"/>
    </row>
    <row r="90" spans="2:15" ht="33" x14ac:dyDescent="0.25">
      <c r="B90" s="492" t="s">
        <v>338</v>
      </c>
      <c r="C90" s="674"/>
      <c r="D90" s="540"/>
      <c r="E90" s="540"/>
      <c r="F90" s="490"/>
      <c r="G90" s="563" t="s">
        <v>330</v>
      </c>
      <c r="H90" s="543">
        <f t="shared" si="5"/>
        <v>51.381730000000005</v>
      </c>
      <c r="I90" s="468">
        <f>1*25.7</f>
        <v>25.7</v>
      </c>
      <c r="J90" s="468">
        <f>25.68173*1</f>
        <v>25.681730000000002</v>
      </c>
      <c r="K90" s="468">
        <v>0</v>
      </c>
      <c r="L90" s="468">
        <v>0</v>
      </c>
      <c r="M90" s="558">
        <v>0</v>
      </c>
    </row>
    <row r="91" spans="2:15" ht="33" x14ac:dyDescent="0.25">
      <c r="B91" s="492" t="s">
        <v>341</v>
      </c>
      <c r="C91" s="674"/>
      <c r="D91" s="540"/>
      <c r="E91" s="540"/>
      <c r="F91" s="490"/>
      <c r="G91" s="563" t="s">
        <v>330</v>
      </c>
      <c r="H91" s="543">
        <f t="shared" si="5"/>
        <v>51.4</v>
      </c>
      <c r="I91" s="468">
        <f>2*25.7</f>
        <v>51.4</v>
      </c>
      <c r="J91" s="468">
        <v>0</v>
      </c>
      <c r="K91" s="468">
        <v>0</v>
      </c>
      <c r="L91" s="468">
        <v>0</v>
      </c>
      <c r="M91" s="558">
        <v>0</v>
      </c>
    </row>
    <row r="92" spans="2:15" ht="33" x14ac:dyDescent="0.25">
      <c r="B92" s="492" t="s">
        <v>369</v>
      </c>
      <c r="C92" s="674"/>
      <c r="D92" s="540"/>
      <c r="E92" s="540"/>
      <c r="F92" s="490"/>
      <c r="G92" s="563" t="s">
        <v>308</v>
      </c>
      <c r="H92" s="543">
        <f t="shared" si="5"/>
        <v>102.76346000000001</v>
      </c>
      <c r="I92" s="468">
        <f>2*25.7</f>
        <v>51.4</v>
      </c>
      <c r="J92" s="468">
        <f>25.68173*2</f>
        <v>51.363460000000003</v>
      </c>
      <c r="K92" s="468">
        <v>0</v>
      </c>
      <c r="L92" s="468">
        <v>0</v>
      </c>
      <c r="M92" s="558">
        <v>0</v>
      </c>
    </row>
    <row r="93" spans="2:15" ht="33" x14ac:dyDescent="0.25">
      <c r="B93" s="492" t="s">
        <v>342</v>
      </c>
      <c r="C93" s="674"/>
      <c r="D93" s="540"/>
      <c r="E93" s="540"/>
      <c r="F93" s="490"/>
      <c r="G93" s="563" t="s">
        <v>205</v>
      </c>
      <c r="H93" s="543">
        <f t="shared" ref="H93:H98" si="6">SUM(I93:M93)</f>
        <v>25.7</v>
      </c>
      <c r="I93" s="468">
        <f>1*25.7</f>
        <v>25.7</v>
      </c>
      <c r="J93" s="468">
        <v>0</v>
      </c>
      <c r="K93" s="468">
        <v>0</v>
      </c>
      <c r="L93" s="468">
        <v>0</v>
      </c>
      <c r="M93" s="558">
        <v>0</v>
      </c>
    </row>
    <row r="94" spans="2:15" ht="33" x14ac:dyDescent="0.25">
      <c r="B94" s="492" t="s">
        <v>440</v>
      </c>
      <c r="C94" s="674"/>
      <c r="D94" s="540"/>
      <c r="E94" s="540"/>
      <c r="F94" s="490"/>
      <c r="G94" s="563" t="s">
        <v>496</v>
      </c>
      <c r="H94" s="543">
        <f t="shared" si="6"/>
        <v>179.77211</v>
      </c>
      <c r="I94" s="468">
        <v>0</v>
      </c>
      <c r="J94" s="468">
        <f>25.68173*7</f>
        <v>179.77211</v>
      </c>
      <c r="K94" s="468">
        <v>0</v>
      </c>
      <c r="L94" s="468">
        <v>0</v>
      </c>
      <c r="M94" s="558">
        <v>0</v>
      </c>
    </row>
    <row r="95" spans="2:15" ht="33" x14ac:dyDescent="0.25">
      <c r="B95" s="492" t="s">
        <v>441</v>
      </c>
      <c r="C95" s="674"/>
      <c r="D95" s="540"/>
      <c r="E95" s="540"/>
      <c r="F95" s="490"/>
      <c r="G95" s="563" t="s">
        <v>334</v>
      </c>
      <c r="H95" s="543">
        <f t="shared" si="6"/>
        <v>77.045190000000005</v>
      </c>
      <c r="I95" s="468">
        <v>0</v>
      </c>
      <c r="J95" s="468">
        <f>25.68173*3</f>
        <v>77.045190000000005</v>
      </c>
      <c r="K95" s="468">
        <v>0</v>
      </c>
      <c r="L95" s="468">
        <v>0</v>
      </c>
      <c r="M95" s="558">
        <v>0</v>
      </c>
    </row>
    <row r="96" spans="2:15" ht="33" x14ac:dyDescent="0.25">
      <c r="B96" s="492" t="s">
        <v>442</v>
      </c>
      <c r="C96" s="674"/>
      <c r="D96" s="540"/>
      <c r="E96" s="540"/>
      <c r="F96" s="490"/>
      <c r="G96" s="563" t="s">
        <v>205</v>
      </c>
      <c r="H96" s="543">
        <f t="shared" si="6"/>
        <v>25.681730000000002</v>
      </c>
      <c r="I96" s="468">
        <v>0</v>
      </c>
      <c r="J96" s="468">
        <f>25.68173*1</f>
        <v>25.681730000000002</v>
      </c>
      <c r="K96" s="468">
        <v>0</v>
      </c>
      <c r="L96" s="468">
        <v>0</v>
      </c>
      <c r="M96" s="558">
        <v>0</v>
      </c>
    </row>
    <row r="97" spans="2:14" ht="33" x14ac:dyDescent="0.25">
      <c r="B97" s="492" t="s">
        <v>445</v>
      </c>
      <c r="C97" s="674"/>
      <c r="D97" s="540"/>
      <c r="E97" s="540"/>
      <c r="F97" s="490"/>
      <c r="G97" s="563" t="s">
        <v>205</v>
      </c>
      <c r="H97" s="543">
        <f t="shared" si="6"/>
        <v>25.681730000000002</v>
      </c>
      <c r="I97" s="468">
        <v>0</v>
      </c>
      <c r="J97" s="468">
        <f>25.68173*1</f>
        <v>25.681730000000002</v>
      </c>
      <c r="K97" s="468">
        <v>0</v>
      </c>
      <c r="L97" s="468">
        <v>0</v>
      </c>
      <c r="M97" s="558">
        <v>0</v>
      </c>
    </row>
    <row r="98" spans="2:14" ht="33" x14ac:dyDescent="0.25">
      <c r="B98" s="492" t="s">
        <v>443</v>
      </c>
      <c r="C98" s="674"/>
      <c r="D98" s="540"/>
      <c r="E98" s="540"/>
      <c r="F98" s="490"/>
      <c r="G98" s="563" t="s">
        <v>205</v>
      </c>
      <c r="H98" s="543">
        <f t="shared" si="6"/>
        <v>25.681730000000002</v>
      </c>
      <c r="I98" s="468">
        <v>0</v>
      </c>
      <c r="J98" s="468">
        <f>25.68173*1</f>
        <v>25.681730000000002</v>
      </c>
      <c r="K98" s="468">
        <v>0</v>
      </c>
      <c r="L98" s="468">
        <v>0</v>
      </c>
      <c r="M98" s="558">
        <v>0</v>
      </c>
    </row>
    <row r="99" spans="2:14" ht="33" x14ac:dyDescent="0.25">
      <c r="B99" s="492" t="s">
        <v>444</v>
      </c>
      <c r="C99" s="674"/>
      <c r="D99" s="540"/>
      <c r="E99" s="540"/>
      <c r="F99" s="490"/>
      <c r="G99" s="563" t="s">
        <v>205</v>
      </c>
      <c r="H99" s="543">
        <f t="shared" ref="H99:H107" si="7">SUM(I99:M99)</f>
        <v>25.681730000000002</v>
      </c>
      <c r="I99" s="468">
        <v>0</v>
      </c>
      <c r="J99" s="468">
        <f>25.68173*1</f>
        <v>25.681730000000002</v>
      </c>
      <c r="K99" s="468">
        <v>0</v>
      </c>
      <c r="L99" s="468">
        <v>0</v>
      </c>
      <c r="M99" s="558">
        <v>0</v>
      </c>
    </row>
    <row r="100" spans="2:14" ht="33" x14ac:dyDescent="0.25">
      <c r="B100" s="492" t="s">
        <v>460</v>
      </c>
      <c r="C100" s="674"/>
      <c r="D100" s="540"/>
      <c r="E100" s="540"/>
      <c r="F100" s="490"/>
      <c r="G100" s="563" t="s">
        <v>205</v>
      </c>
      <c r="H100" s="543">
        <f t="shared" si="7"/>
        <v>25.681730000000002</v>
      </c>
      <c r="I100" s="468">
        <v>0</v>
      </c>
      <c r="J100" s="468">
        <f>25.68173*1</f>
        <v>25.681730000000002</v>
      </c>
      <c r="K100" s="468">
        <v>0</v>
      </c>
      <c r="L100" s="468">
        <v>0</v>
      </c>
      <c r="M100" s="558">
        <v>0</v>
      </c>
    </row>
    <row r="101" spans="2:14" ht="33" x14ac:dyDescent="0.25">
      <c r="B101" s="492" t="s">
        <v>471</v>
      </c>
      <c r="C101" s="674"/>
      <c r="D101" s="540"/>
      <c r="E101" s="540"/>
      <c r="F101" s="490"/>
      <c r="G101" s="563" t="s">
        <v>334</v>
      </c>
      <c r="H101" s="543">
        <f t="shared" si="7"/>
        <v>77.045190000000005</v>
      </c>
      <c r="I101" s="468">
        <v>0</v>
      </c>
      <c r="J101" s="468">
        <f>25.68173*3</f>
        <v>77.045190000000005</v>
      </c>
      <c r="K101" s="468">
        <v>0</v>
      </c>
      <c r="L101" s="468">
        <v>0</v>
      </c>
      <c r="M101" s="558">
        <v>0</v>
      </c>
    </row>
    <row r="102" spans="2:14" ht="33" x14ac:dyDescent="0.25">
      <c r="B102" s="492" t="s">
        <v>472</v>
      </c>
      <c r="C102" s="674"/>
      <c r="D102" s="540"/>
      <c r="E102" s="540"/>
      <c r="F102" s="490"/>
      <c r="G102" s="563" t="s">
        <v>205</v>
      </c>
      <c r="H102" s="543">
        <f t="shared" si="7"/>
        <v>25.681730000000002</v>
      </c>
      <c r="I102" s="468">
        <v>0</v>
      </c>
      <c r="J102" s="468">
        <f>25.68173*1</f>
        <v>25.681730000000002</v>
      </c>
      <c r="K102" s="468">
        <v>0</v>
      </c>
      <c r="L102" s="468">
        <v>0</v>
      </c>
      <c r="M102" s="558">
        <v>0</v>
      </c>
    </row>
    <row r="103" spans="2:14" ht="33" x14ac:dyDescent="0.25">
      <c r="B103" s="492" t="s">
        <v>475</v>
      </c>
      <c r="C103" s="674"/>
      <c r="D103" s="540"/>
      <c r="E103" s="540"/>
      <c r="F103" s="490"/>
      <c r="G103" s="563" t="s">
        <v>205</v>
      </c>
      <c r="H103" s="543">
        <f>SUM(I103:M103)</f>
        <v>25.681730000000002</v>
      </c>
      <c r="I103" s="468">
        <v>0</v>
      </c>
      <c r="J103" s="468">
        <f>25.68173*1</f>
        <v>25.681730000000002</v>
      </c>
      <c r="K103" s="468">
        <v>0</v>
      </c>
      <c r="L103" s="468">
        <v>0</v>
      </c>
      <c r="M103" s="558">
        <v>0</v>
      </c>
    </row>
    <row r="104" spans="2:14" ht="33" x14ac:dyDescent="0.25">
      <c r="B104" s="492" t="s">
        <v>477</v>
      </c>
      <c r="C104" s="674"/>
      <c r="D104" s="540"/>
      <c r="E104" s="540"/>
      <c r="F104" s="490"/>
      <c r="G104" s="563" t="s">
        <v>330</v>
      </c>
      <c r="H104" s="543">
        <f t="shared" si="7"/>
        <v>51.363460000000003</v>
      </c>
      <c r="I104" s="468">
        <v>0</v>
      </c>
      <c r="J104" s="468">
        <f>25.68173*2</f>
        <v>51.363460000000003</v>
      </c>
      <c r="K104" s="468">
        <v>0</v>
      </c>
      <c r="L104" s="468">
        <v>0</v>
      </c>
      <c r="M104" s="558">
        <v>0</v>
      </c>
    </row>
    <row r="105" spans="2:14" ht="33" x14ac:dyDescent="0.25">
      <c r="B105" s="492" t="s">
        <v>463</v>
      </c>
      <c r="C105" s="674"/>
      <c r="D105" s="540"/>
      <c r="E105" s="540"/>
      <c r="F105" s="490"/>
      <c r="G105" s="563" t="s">
        <v>330</v>
      </c>
      <c r="H105" s="543">
        <f t="shared" si="7"/>
        <v>51.363460000000003</v>
      </c>
      <c r="I105" s="468">
        <v>0</v>
      </c>
      <c r="J105" s="468">
        <f>25.68173*2</f>
        <v>51.363460000000003</v>
      </c>
      <c r="K105" s="468">
        <v>0</v>
      </c>
      <c r="L105" s="468">
        <v>0</v>
      </c>
      <c r="M105" s="558">
        <v>0</v>
      </c>
    </row>
    <row r="106" spans="2:14" ht="33" x14ac:dyDescent="0.25">
      <c r="B106" s="492" t="s">
        <v>497</v>
      </c>
      <c r="C106" s="674"/>
      <c r="D106" s="540"/>
      <c r="E106" s="540"/>
      <c r="F106" s="490"/>
      <c r="G106" s="563" t="s">
        <v>205</v>
      </c>
      <c r="H106" s="543">
        <f t="shared" si="7"/>
        <v>25.681730000000002</v>
      </c>
      <c r="I106" s="468">
        <v>0</v>
      </c>
      <c r="J106" s="468">
        <f>25.68173*1</f>
        <v>25.681730000000002</v>
      </c>
      <c r="K106" s="468">
        <v>0</v>
      </c>
      <c r="L106" s="468">
        <v>0</v>
      </c>
      <c r="M106" s="558">
        <v>0</v>
      </c>
    </row>
    <row r="107" spans="2:14" ht="33" x14ac:dyDescent="0.25">
      <c r="B107" s="492" t="s">
        <v>492</v>
      </c>
      <c r="C107" s="674"/>
      <c r="D107" s="540"/>
      <c r="E107" s="540"/>
      <c r="F107" s="490"/>
      <c r="G107" s="563" t="s">
        <v>205</v>
      </c>
      <c r="H107" s="543">
        <f t="shared" si="7"/>
        <v>25.681730000000002</v>
      </c>
      <c r="I107" s="468">
        <v>0</v>
      </c>
      <c r="J107" s="468">
        <f>25.68173*1</f>
        <v>25.681730000000002</v>
      </c>
      <c r="K107" s="468">
        <v>0</v>
      </c>
      <c r="L107" s="468">
        <v>0</v>
      </c>
      <c r="M107" s="558">
        <v>0</v>
      </c>
    </row>
    <row r="108" spans="2:14" ht="33" x14ac:dyDescent="0.25">
      <c r="B108" s="492" t="s">
        <v>493</v>
      </c>
      <c r="C108" s="674"/>
      <c r="D108" s="540"/>
      <c r="E108" s="540"/>
      <c r="F108" s="490"/>
      <c r="G108" s="563" t="s">
        <v>205</v>
      </c>
      <c r="H108" s="543">
        <f t="shared" ref="H108:H118" si="8">SUM(I108:M108)</f>
        <v>25.681730000000002</v>
      </c>
      <c r="I108" s="468">
        <v>0</v>
      </c>
      <c r="J108" s="468">
        <f>25.68173*1</f>
        <v>25.681730000000002</v>
      </c>
      <c r="K108" s="468">
        <v>0</v>
      </c>
      <c r="L108" s="468">
        <v>0</v>
      </c>
      <c r="M108" s="558">
        <v>0</v>
      </c>
    </row>
    <row r="109" spans="2:14" ht="33" x14ac:dyDescent="0.25">
      <c r="B109" s="492" t="s">
        <v>494</v>
      </c>
      <c r="C109" s="674"/>
      <c r="D109" s="540"/>
      <c r="E109" s="540"/>
      <c r="F109" s="490"/>
      <c r="G109" s="563" t="s">
        <v>205</v>
      </c>
      <c r="H109" s="543">
        <f t="shared" si="8"/>
        <v>25.681730000000002</v>
      </c>
      <c r="I109" s="468">
        <v>0</v>
      </c>
      <c r="J109" s="468">
        <f>25.68173*1</f>
        <v>25.681730000000002</v>
      </c>
      <c r="K109" s="468">
        <v>0</v>
      </c>
      <c r="L109" s="468">
        <v>0</v>
      </c>
      <c r="M109" s="558">
        <v>0</v>
      </c>
    </row>
    <row r="110" spans="2:14" ht="33" x14ac:dyDescent="0.25">
      <c r="B110" s="492" t="s">
        <v>495</v>
      </c>
      <c r="C110" s="674"/>
      <c r="D110" s="540"/>
      <c r="E110" s="540"/>
      <c r="F110" s="490"/>
      <c r="G110" s="563" t="s">
        <v>205</v>
      </c>
      <c r="H110" s="543">
        <f t="shared" si="8"/>
        <v>25.681730000000002</v>
      </c>
      <c r="I110" s="468">
        <v>0</v>
      </c>
      <c r="J110" s="468">
        <f>25.68173*1</f>
        <v>25.681730000000002</v>
      </c>
      <c r="K110" s="468">
        <v>0</v>
      </c>
      <c r="L110" s="468">
        <v>0</v>
      </c>
      <c r="M110" s="558">
        <v>0</v>
      </c>
    </row>
    <row r="111" spans="2:14" ht="33" x14ac:dyDescent="0.25">
      <c r="B111" s="492" t="s">
        <v>389</v>
      </c>
      <c r="C111" s="674"/>
      <c r="D111" s="540"/>
      <c r="E111" s="540"/>
      <c r="F111" s="490" t="s">
        <v>222</v>
      </c>
      <c r="G111" s="563" t="s">
        <v>222</v>
      </c>
      <c r="H111" s="543">
        <f t="shared" si="8"/>
        <v>599.72400000000005</v>
      </c>
      <c r="I111" s="470">
        <v>599.72400000000005</v>
      </c>
      <c r="J111" s="468">
        <v>0</v>
      </c>
      <c r="K111" s="468">
        <v>0</v>
      </c>
      <c r="L111" s="468">
        <v>0</v>
      </c>
      <c r="M111" s="558">
        <v>0</v>
      </c>
      <c r="N111" s="267"/>
    </row>
    <row r="112" spans="2:14" x14ac:dyDescent="0.25">
      <c r="B112" s="492" t="s">
        <v>390</v>
      </c>
      <c r="C112" s="674"/>
      <c r="D112" s="540"/>
      <c r="E112" s="540"/>
      <c r="F112" s="490" t="s">
        <v>222</v>
      </c>
      <c r="G112" s="563" t="s">
        <v>222</v>
      </c>
      <c r="H112" s="543">
        <f t="shared" si="8"/>
        <v>599.66639999999995</v>
      </c>
      <c r="I112" s="470">
        <v>599.66639999999995</v>
      </c>
      <c r="J112" s="468">
        <v>0</v>
      </c>
      <c r="K112" s="468">
        <v>0</v>
      </c>
      <c r="L112" s="468">
        <v>0</v>
      </c>
      <c r="M112" s="558">
        <v>0</v>
      </c>
      <c r="N112" s="267"/>
    </row>
    <row r="113" spans="2:15" ht="49.5" x14ac:dyDescent="0.25">
      <c r="B113" s="492" t="s">
        <v>392</v>
      </c>
      <c r="C113" s="674"/>
      <c r="D113" s="540"/>
      <c r="E113" s="540"/>
      <c r="F113" s="490" t="s">
        <v>222</v>
      </c>
      <c r="G113" s="563" t="s">
        <v>222</v>
      </c>
      <c r="H113" s="543">
        <f t="shared" si="8"/>
        <v>212.51168000000001</v>
      </c>
      <c r="I113" s="470">
        <v>212.51168000000001</v>
      </c>
      <c r="J113" s="468">
        <v>0</v>
      </c>
      <c r="K113" s="468">
        <v>0</v>
      </c>
      <c r="L113" s="468">
        <v>0</v>
      </c>
      <c r="M113" s="558">
        <v>0</v>
      </c>
      <c r="N113" s="267"/>
    </row>
    <row r="114" spans="2:15" ht="66" x14ac:dyDescent="0.25">
      <c r="B114" s="492" t="s">
        <v>391</v>
      </c>
      <c r="C114" s="674"/>
      <c r="D114" s="540"/>
      <c r="E114" s="540"/>
      <c r="F114" s="490" t="s">
        <v>222</v>
      </c>
      <c r="G114" s="563" t="s">
        <v>222</v>
      </c>
      <c r="H114" s="543">
        <f t="shared" si="8"/>
        <v>98</v>
      </c>
      <c r="I114" s="470">
        <v>98</v>
      </c>
      <c r="J114" s="468">
        <v>0</v>
      </c>
      <c r="K114" s="468">
        <v>0</v>
      </c>
      <c r="L114" s="468">
        <v>0</v>
      </c>
      <c r="M114" s="558">
        <v>0</v>
      </c>
      <c r="N114" s="267"/>
    </row>
    <row r="115" spans="2:15" ht="49.5" x14ac:dyDescent="0.25">
      <c r="B115" s="492" t="s">
        <v>680</v>
      </c>
      <c r="C115" s="674"/>
      <c r="D115" s="540"/>
      <c r="E115" s="540"/>
      <c r="F115" s="490" t="s">
        <v>222</v>
      </c>
      <c r="G115" s="563" t="s">
        <v>222</v>
      </c>
      <c r="H115" s="543">
        <f t="shared" si="8"/>
        <v>65</v>
      </c>
      <c r="I115" s="470">
        <v>65</v>
      </c>
      <c r="J115" s="468">
        <v>0</v>
      </c>
      <c r="K115" s="468">
        <v>0</v>
      </c>
      <c r="L115" s="468">
        <v>0</v>
      </c>
      <c r="M115" s="558">
        <v>0</v>
      </c>
      <c r="N115" s="267"/>
    </row>
    <row r="116" spans="2:15" ht="33" x14ac:dyDescent="0.25">
      <c r="B116" s="492" t="s">
        <v>417</v>
      </c>
      <c r="C116" s="674"/>
      <c r="D116" s="540"/>
      <c r="E116" s="540"/>
      <c r="F116" s="490" t="s">
        <v>222</v>
      </c>
      <c r="G116" s="563" t="s">
        <v>222</v>
      </c>
      <c r="H116" s="543">
        <f t="shared" si="8"/>
        <v>1917.0905399999999</v>
      </c>
      <c r="I116" s="564">
        <v>1917.0905399999999</v>
      </c>
      <c r="J116" s="468">
        <v>0</v>
      </c>
      <c r="K116" s="468">
        <v>0</v>
      </c>
      <c r="L116" s="468">
        <v>0</v>
      </c>
      <c r="M116" s="558">
        <v>0</v>
      </c>
      <c r="N116" s="267"/>
    </row>
    <row r="117" spans="2:15" ht="33" x14ac:dyDescent="0.25">
      <c r="B117" s="492" t="s">
        <v>393</v>
      </c>
      <c r="C117" s="674"/>
      <c r="D117" s="540"/>
      <c r="E117" s="540"/>
      <c r="F117" s="490" t="s">
        <v>222</v>
      </c>
      <c r="G117" s="563" t="s">
        <v>222</v>
      </c>
      <c r="H117" s="543">
        <f t="shared" si="8"/>
        <v>99.858000000000004</v>
      </c>
      <c r="I117" s="564">
        <v>99.858000000000004</v>
      </c>
      <c r="J117" s="468">
        <v>0</v>
      </c>
      <c r="K117" s="468">
        <v>0</v>
      </c>
      <c r="L117" s="468">
        <v>0</v>
      </c>
      <c r="M117" s="558">
        <v>0</v>
      </c>
      <c r="N117" s="267"/>
    </row>
    <row r="118" spans="2:15" ht="33" x14ac:dyDescent="0.25">
      <c r="B118" s="492" t="s">
        <v>394</v>
      </c>
      <c r="C118" s="674"/>
      <c r="D118" s="540"/>
      <c r="E118" s="540"/>
      <c r="F118" s="490" t="s">
        <v>222</v>
      </c>
      <c r="G118" s="563" t="s">
        <v>222</v>
      </c>
      <c r="H118" s="543">
        <f t="shared" si="8"/>
        <v>450</v>
      </c>
      <c r="I118" s="564">
        <v>450</v>
      </c>
      <c r="J118" s="468">
        <v>0</v>
      </c>
      <c r="K118" s="468">
        <v>0</v>
      </c>
      <c r="L118" s="468">
        <v>0</v>
      </c>
      <c r="M118" s="558">
        <v>0</v>
      </c>
      <c r="N118" s="267"/>
    </row>
    <row r="119" spans="2:15" s="277" customFormat="1" ht="33" x14ac:dyDescent="0.25">
      <c r="B119" s="492" t="s">
        <v>627</v>
      </c>
      <c r="C119" s="674"/>
      <c r="D119" s="540"/>
      <c r="E119" s="540"/>
      <c r="F119" s="490">
        <f>1720*14</f>
        <v>24080</v>
      </c>
      <c r="G119" s="557">
        <v>1.72</v>
      </c>
      <c r="H119" s="543">
        <f t="shared" si="5"/>
        <v>33160</v>
      </c>
      <c r="I119" s="468">
        <v>0</v>
      </c>
      <c r="J119" s="465">
        <v>33160</v>
      </c>
      <c r="K119" s="465">
        <v>0</v>
      </c>
      <c r="L119" s="468">
        <v>0</v>
      </c>
      <c r="M119" s="483">
        <v>0</v>
      </c>
      <c r="N119" s="276"/>
      <c r="O119" s="277" t="s">
        <v>179</v>
      </c>
    </row>
    <row r="120" spans="2:15" s="277" customFormat="1" ht="33" x14ac:dyDescent="0.25">
      <c r="B120" s="492" t="s">
        <v>438</v>
      </c>
      <c r="C120" s="674"/>
      <c r="D120" s="540"/>
      <c r="E120" s="540"/>
      <c r="F120" s="490" t="s">
        <v>222</v>
      </c>
      <c r="G120" s="482" t="s">
        <v>222</v>
      </c>
      <c r="H120" s="543">
        <f t="shared" si="5"/>
        <v>212.51168000000001</v>
      </c>
      <c r="I120" s="468">
        <v>0</v>
      </c>
      <c r="J120" s="465">
        <v>212.51168000000001</v>
      </c>
      <c r="K120" s="465">
        <v>0</v>
      </c>
      <c r="L120" s="468">
        <v>0</v>
      </c>
      <c r="M120" s="483">
        <v>0</v>
      </c>
      <c r="N120" s="276"/>
    </row>
    <row r="121" spans="2:15" s="279" customFormat="1" ht="53.25" customHeight="1" x14ac:dyDescent="0.25">
      <c r="B121" s="492" t="s">
        <v>229</v>
      </c>
      <c r="C121" s="674"/>
      <c r="D121" s="540"/>
      <c r="E121" s="540"/>
      <c r="F121" s="490"/>
      <c r="G121" s="482" t="s">
        <v>205</v>
      </c>
      <c r="H121" s="543">
        <f t="shared" si="5"/>
        <v>2686.5</v>
      </c>
      <c r="I121" s="465">
        <v>2686.5</v>
      </c>
      <c r="J121" s="469">
        <v>0</v>
      </c>
      <c r="K121" s="469">
        <v>0</v>
      </c>
      <c r="L121" s="469">
        <v>0</v>
      </c>
      <c r="M121" s="565">
        <v>0</v>
      </c>
      <c r="N121" s="278"/>
    </row>
    <row r="122" spans="2:15" s="279" customFormat="1" ht="49.5" x14ac:dyDescent="0.25">
      <c r="B122" s="492" t="s">
        <v>234</v>
      </c>
      <c r="C122" s="674"/>
      <c r="D122" s="540"/>
      <c r="E122" s="540"/>
      <c r="F122" s="490"/>
      <c r="G122" s="482" t="s">
        <v>205</v>
      </c>
      <c r="H122" s="543">
        <f t="shared" si="5"/>
        <v>2686.5</v>
      </c>
      <c r="I122" s="465">
        <v>2686.5</v>
      </c>
      <c r="J122" s="469">
        <v>0</v>
      </c>
      <c r="K122" s="469">
        <v>0</v>
      </c>
      <c r="L122" s="469">
        <v>0</v>
      </c>
      <c r="M122" s="565">
        <v>0</v>
      </c>
      <c r="N122" s="280"/>
    </row>
    <row r="123" spans="2:15" s="279" customFormat="1" ht="49.5" x14ac:dyDescent="0.25">
      <c r="B123" s="492" t="s">
        <v>230</v>
      </c>
      <c r="C123" s="674"/>
      <c r="D123" s="540"/>
      <c r="E123" s="540"/>
      <c r="F123" s="490"/>
      <c r="G123" s="482" t="s">
        <v>205</v>
      </c>
      <c r="H123" s="543">
        <f t="shared" si="5"/>
        <v>2686.5</v>
      </c>
      <c r="I123" s="465">
        <v>2686.5</v>
      </c>
      <c r="J123" s="469">
        <v>0</v>
      </c>
      <c r="K123" s="469">
        <v>0</v>
      </c>
      <c r="L123" s="469">
        <v>0</v>
      </c>
      <c r="M123" s="565">
        <v>0</v>
      </c>
      <c r="N123" s="280"/>
    </row>
    <row r="124" spans="2:15" s="279" customFormat="1" ht="49.5" x14ac:dyDescent="0.25">
      <c r="B124" s="492" t="s">
        <v>231</v>
      </c>
      <c r="C124" s="674"/>
      <c r="D124" s="540"/>
      <c r="E124" s="540"/>
      <c r="F124" s="490"/>
      <c r="G124" s="482" t="s">
        <v>205</v>
      </c>
      <c r="H124" s="543">
        <f t="shared" si="5"/>
        <v>2686.5</v>
      </c>
      <c r="I124" s="465">
        <v>2686.5</v>
      </c>
      <c r="J124" s="469">
        <v>0</v>
      </c>
      <c r="K124" s="469">
        <v>0</v>
      </c>
      <c r="L124" s="469">
        <v>0</v>
      </c>
      <c r="M124" s="565">
        <v>0</v>
      </c>
      <c r="N124" s="280"/>
    </row>
    <row r="125" spans="2:15" s="279" customFormat="1" ht="49.5" x14ac:dyDescent="0.25">
      <c r="B125" s="492" t="s">
        <v>232</v>
      </c>
      <c r="C125" s="674"/>
      <c r="D125" s="540"/>
      <c r="E125" s="540"/>
      <c r="F125" s="490"/>
      <c r="G125" s="482" t="s">
        <v>205</v>
      </c>
      <c r="H125" s="543">
        <f t="shared" si="5"/>
        <v>2686.5</v>
      </c>
      <c r="I125" s="465">
        <v>2686.5</v>
      </c>
      <c r="J125" s="469">
        <v>0</v>
      </c>
      <c r="K125" s="469">
        <v>0</v>
      </c>
      <c r="L125" s="469">
        <v>0</v>
      </c>
      <c r="M125" s="565">
        <v>0</v>
      </c>
      <c r="N125" s="280"/>
    </row>
    <row r="126" spans="2:15" s="279" customFormat="1" ht="49.5" x14ac:dyDescent="0.25">
      <c r="B126" s="492" t="s">
        <v>233</v>
      </c>
      <c r="C126" s="674"/>
      <c r="D126" s="540"/>
      <c r="E126" s="540"/>
      <c r="F126" s="490"/>
      <c r="G126" s="482" t="s">
        <v>205</v>
      </c>
      <c r="H126" s="543">
        <f t="shared" si="5"/>
        <v>2686.5</v>
      </c>
      <c r="I126" s="465">
        <v>2686.5</v>
      </c>
      <c r="J126" s="469">
        <v>0</v>
      </c>
      <c r="K126" s="469">
        <v>0</v>
      </c>
      <c r="L126" s="469">
        <v>0</v>
      </c>
      <c r="M126" s="565">
        <v>0</v>
      </c>
      <c r="N126" s="280"/>
    </row>
    <row r="127" spans="2:15" s="279" customFormat="1" x14ac:dyDescent="0.25">
      <c r="B127" s="492" t="s">
        <v>204</v>
      </c>
      <c r="C127" s="674"/>
      <c r="D127" s="540"/>
      <c r="E127" s="540"/>
      <c r="F127" s="490"/>
      <c r="G127" s="482"/>
      <c r="H127" s="543">
        <f t="shared" si="5"/>
        <v>12420.168001999999</v>
      </c>
      <c r="I127" s="465">
        <f>19694.0388-7273.870798</f>
        <v>12420.168001999999</v>
      </c>
      <c r="J127" s="469">
        <v>0</v>
      </c>
      <c r="K127" s="469">
        <v>0</v>
      </c>
      <c r="L127" s="469">
        <v>0</v>
      </c>
      <c r="M127" s="565">
        <v>0</v>
      </c>
      <c r="N127" s="280"/>
    </row>
    <row r="128" spans="2:15" s="279" customFormat="1" x14ac:dyDescent="0.25">
      <c r="B128" s="492" t="str">
        <f>'перечень объектов'!B244</f>
        <v>Ремонт ул. Васильевская</v>
      </c>
      <c r="C128" s="674"/>
      <c r="D128" s="540"/>
      <c r="E128" s="540"/>
      <c r="F128" s="490">
        <v>20480</v>
      </c>
      <c r="G128" s="482">
        <v>2.56</v>
      </c>
      <c r="H128" s="543">
        <f t="shared" si="5"/>
        <v>55700</v>
      </c>
      <c r="I128" s="466">
        <v>0</v>
      </c>
      <c r="J128" s="469">
        <v>0</v>
      </c>
      <c r="K128" s="469">
        <f>'перечень объектов'!C244</f>
        <v>55700</v>
      </c>
      <c r="L128" s="469">
        <v>0</v>
      </c>
      <c r="M128" s="565">
        <v>0</v>
      </c>
      <c r="N128" s="280"/>
    </row>
    <row r="129" spans="1:15" s="279" customFormat="1" ht="35.25" customHeight="1" x14ac:dyDescent="0.25">
      <c r="B129" s="492" t="str">
        <f>'перечень объектов'!B245</f>
        <v xml:space="preserve">Кромское шоссе на участке от пересечения с ул. Высоковольтная до границ города Орла </v>
      </c>
      <c r="C129" s="674"/>
      <c r="D129" s="540"/>
      <c r="E129" s="540"/>
      <c r="F129" s="490">
        <v>17572</v>
      </c>
      <c r="G129" s="482">
        <v>1.048</v>
      </c>
      <c r="H129" s="543">
        <f t="shared" si="5"/>
        <v>15300</v>
      </c>
      <c r="I129" s="466">
        <v>0</v>
      </c>
      <c r="J129" s="469">
        <v>0</v>
      </c>
      <c r="K129" s="469">
        <f>'перечень объектов'!C245</f>
        <v>15300</v>
      </c>
      <c r="L129" s="469">
        <v>0</v>
      </c>
      <c r="M129" s="565">
        <v>0</v>
      </c>
      <c r="N129" s="280"/>
    </row>
    <row r="130" spans="1:15" s="279" customFormat="1" x14ac:dyDescent="0.25">
      <c r="B130" s="492" t="s">
        <v>26</v>
      </c>
      <c r="C130" s="674"/>
      <c r="D130" s="540"/>
      <c r="E130" s="540"/>
      <c r="F130" s="541"/>
      <c r="G130" s="566"/>
      <c r="H130" s="543">
        <f t="shared" si="5"/>
        <v>20945.347478</v>
      </c>
      <c r="I130" s="466">
        <f>4987.8884+7110.0844+7273.870798</f>
        <v>19371.843597999999</v>
      </c>
      <c r="J130" s="466">
        <v>1573.50388</v>
      </c>
      <c r="K130" s="466">
        <v>0</v>
      </c>
      <c r="L130" s="466">
        <v>0</v>
      </c>
      <c r="M130" s="483">
        <v>0</v>
      </c>
      <c r="N130" s="281" t="s">
        <v>266</v>
      </c>
    </row>
    <row r="131" spans="1:15" ht="33" x14ac:dyDescent="0.25">
      <c r="B131" s="492" t="s">
        <v>27</v>
      </c>
      <c r="C131" s="675"/>
      <c r="D131" s="540"/>
      <c r="E131" s="540"/>
      <c r="F131" s="541"/>
      <c r="G131" s="566"/>
      <c r="H131" s="543">
        <f t="shared" si="5"/>
        <v>20325.957860000002</v>
      </c>
      <c r="I131" s="466">
        <f>1052.43926+9370.03028</f>
        <v>10422.469540000002</v>
      </c>
      <c r="J131" s="466">
        <f>1300-212.51168</f>
        <v>1087.4883199999999</v>
      </c>
      <c r="K131" s="464">
        <f>3010+264+170</f>
        <v>3444</v>
      </c>
      <c r="L131" s="471">
        <v>1425</v>
      </c>
      <c r="M131" s="548">
        <v>3947</v>
      </c>
      <c r="N131" s="280"/>
      <c r="O131" s="279"/>
    </row>
    <row r="132" spans="1:15" x14ac:dyDescent="0.25">
      <c r="B132" s="492" t="s">
        <v>28</v>
      </c>
      <c r="C132" s="540"/>
      <c r="D132" s="540"/>
      <c r="E132" s="540"/>
      <c r="F132" s="541"/>
      <c r="G132" s="542"/>
      <c r="H132" s="543">
        <f t="shared" si="5"/>
        <v>14999.999999999985</v>
      </c>
      <c r="I132" s="466">
        <f>28572.742+40996.9056+9409.2336+52102.18855+1714+5900-33608.78788-105086.28187+15000</f>
        <v>14999.999999999985</v>
      </c>
      <c r="J132" s="466">
        <v>0</v>
      </c>
      <c r="K132" s="466">
        <v>0</v>
      </c>
      <c r="L132" s="466">
        <v>0</v>
      </c>
      <c r="M132" s="483">
        <v>0</v>
      </c>
      <c r="N132" s="280"/>
      <c r="O132" s="279"/>
    </row>
    <row r="133" spans="1:15" ht="17.25" x14ac:dyDescent="0.25">
      <c r="B133" s="549" t="s">
        <v>16</v>
      </c>
      <c r="C133" s="540"/>
      <c r="D133" s="540"/>
      <c r="E133" s="540"/>
      <c r="F133" s="541"/>
      <c r="G133" s="567"/>
      <c r="H133" s="464"/>
      <c r="I133" s="741"/>
      <c r="J133" s="742"/>
      <c r="K133" s="742"/>
      <c r="L133" s="742"/>
      <c r="M133" s="743"/>
      <c r="N133" s="280"/>
      <c r="O133" s="279"/>
    </row>
    <row r="134" spans="1:15" x14ac:dyDescent="0.25">
      <c r="B134" s="492" t="s">
        <v>77</v>
      </c>
      <c r="C134" s="540"/>
      <c r="D134" s="540"/>
      <c r="E134" s="540"/>
      <c r="F134" s="541"/>
      <c r="G134" s="567"/>
      <c r="H134" s="466">
        <f>SUM(I134:M134)</f>
        <v>0</v>
      </c>
      <c r="I134" s="568">
        <v>0</v>
      </c>
      <c r="J134" s="470">
        <v>0</v>
      </c>
      <c r="K134" s="470">
        <v>0</v>
      </c>
      <c r="L134" s="470">
        <v>0</v>
      </c>
      <c r="M134" s="569">
        <v>0</v>
      </c>
      <c r="N134" s="280"/>
      <c r="O134" s="279"/>
    </row>
    <row r="135" spans="1:15" x14ac:dyDescent="0.25">
      <c r="B135" s="492" t="s">
        <v>9</v>
      </c>
      <c r="C135" s="540"/>
      <c r="D135" s="540"/>
      <c r="E135" s="540"/>
      <c r="F135" s="541"/>
      <c r="G135" s="570"/>
      <c r="H135" s="466">
        <f>SUM(I135:M135)</f>
        <v>495035.53022880002</v>
      </c>
      <c r="I135" s="466">
        <v>215554.46233860002</v>
      </c>
      <c r="J135" s="466">
        <f>'перечень объектов'!F149</f>
        <v>45620.21709630001</v>
      </c>
      <c r="K135" s="464">
        <f>'перечень объектов'!F231</f>
        <v>133860.85079399997</v>
      </c>
      <c r="L135" s="470">
        <f>'перечень объектов'!F345</f>
        <v>0</v>
      </c>
      <c r="M135" s="569">
        <f>'перечень объектов'!F457</f>
        <v>99999.999999899999</v>
      </c>
      <c r="N135" s="280"/>
    </row>
    <row r="136" spans="1:15" s="282" customFormat="1" x14ac:dyDescent="0.25">
      <c r="A136" s="251"/>
      <c r="B136" s="492" t="s">
        <v>10</v>
      </c>
      <c r="C136" s="540"/>
      <c r="D136" s="540"/>
      <c r="E136" s="540"/>
      <c r="F136" s="541"/>
      <c r="G136" s="466"/>
      <c r="H136" s="466">
        <f>SUM(I136:M136)</f>
        <v>96449.441089799991</v>
      </c>
      <c r="I136" s="466">
        <v>12510.4</v>
      </c>
      <c r="J136" s="466">
        <f>'перечень объектов'!G149</f>
        <v>1760.8102736999981</v>
      </c>
      <c r="K136" s="464">
        <f>'перечень объектов'!G231</f>
        <v>75796.129805999997</v>
      </c>
      <c r="L136" s="470">
        <f>'перечень объектов'!G345</f>
        <v>1425</v>
      </c>
      <c r="M136" s="569">
        <f>'перечень объектов'!G457</f>
        <v>4957.1010100999993</v>
      </c>
      <c r="N136" s="283"/>
      <c r="O136" s="272"/>
    </row>
    <row r="137" spans="1:15" ht="17.25" x14ac:dyDescent="0.25">
      <c r="B137" s="664"/>
      <c r="C137" s="665"/>
      <c r="D137" s="665"/>
      <c r="E137" s="665"/>
      <c r="F137" s="665"/>
      <c r="G137" s="665"/>
      <c r="H137" s="665"/>
      <c r="I137" s="665"/>
      <c r="J137" s="665"/>
      <c r="K137" s="665"/>
      <c r="L137" s="665"/>
      <c r="M137" s="671"/>
      <c r="N137" s="280"/>
    </row>
    <row r="138" spans="1:15" x14ac:dyDescent="0.25">
      <c r="B138" s="550" t="s">
        <v>131</v>
      </c>
      <c r="C138" s="551"/>
      <c r="D138" s="551"/>
      <c r="E138" s="551"/>
      <c r="F138" s="661" t="s">
        <v>411</v>
      </c>
      <c r="G138" s="662"/>
      <c r="H138" s="552"/>
      <c r="I138" s="552"/>
      <c r="J138" s="552"/>
      <c r="K138" s="467"/>
      <c r="L138" s="553"/>
      <c r="M138" s="554"/>
      <c r="N138" s="280"/>
    </row>
    <row r="139" spans="1:15" ht="60" customHeight="1" x14ac:dyDescent="0.25">
      <c r="B139" s="704" t="s">
        <v>425</v>
      </c>
      <c r="C139" s="649" t="s">
        <v>664</v>
      </c>
      <c r="D139" s="676">
        <v>2022</v>
      </c>
      <c r="E139" s="679">
        <v>2026</v>
      </c>
      <c r="F139" s="663"/>
      <c r="G139" s="662"/>
      <c r="H139" s="658">
        <f t="shared" ref="H139:M139" si="9">SUM(H142:H160)</f>
        <v>1610969.0669103435</v>
      </c>
      <c r="I139" s="658">
        <f t="shared" si="9"/>
        <v>367992.78631999996</v>
      </c>
      <c r="J139" s="658">
        <f t="shared" si="9"/>
        <v>425536.45455000002</v>
      </c>
      <c r="K139" s="658">
        <f t="shared" si="9"/>
        <v>205348.21998034342</v>
      </c>
      <c r="L139" s="658">
        <f t="shared" si="9"/>
        <v>306061.30303000001</v>
      </c>
      <c r="M139" s="750">
        <f t="shared" si="9"/>
        <v>306030.30303000001</v>
      </c>
      <c r="N139" s="249">
        <f>SUM(I139:M139)</f>
        <v>1610969.0669103435</v>
      </c>
      <c r="O139" s="279"/>
    </row>
    <row r="140" spans="1:15" ht="18.75" customHeight="1" x14ac:dyDescent="0.25">
      <c r="B140" s="705"/>
      <c r="C140" s="649"/>
      <c r="D140" s="710"/>
      <c r="E140" s="739"/>
      <c r="F140" s="613">
        <f>SUM(F142:F160)</f>
        <v>303914.86</v>
      </c>
      <c r="G140" s="614" t="s">
        <v>420</v>
      </c>
      <c r="H140" s="659"/>
      <c r="I140" s="659"/>
      <c r="J140" s="659"/>
      <c r="K140" s="659"/>
      <c r="L140" s="659"/>
      <c r="M140" s="751"/>
      <c r="N140" s="249"/>
      <c r="O140" s="279"/>
    </row>
    <row r="141" spans="1:15" ht="18.75" customHeight="1" x14ac:dyDescent="0.25">
      <c r="B141" s="706"/>
      <c r="C141" s="649"/>
      <c r="D141" s="711"/>
      <c r="E141" s="740"/>
      <c r="F141" s="617">
        <f>SUM(G142:G160)</f>
        <v>22.28</v>
      </c>
      <c r="G141" s="616" t="s">
        <v>410</v>
      </c>
      <c r="H141" s="660"/>
      <c r="I141" s="660"/>
      <c r="J141" s="660"/>
      <c r="K141" s="660"/>
      <c r="L141" s="660"/>
      <c r="M141" s="752"/>
      <c r="N141" s="249"/>
      <c r="O141" s="279"/>
    </row>
    <row r="142" spans="1:15" x14ac:dyDescent="0.25">
      <c r="B142" s="478" t="s">
        <v>29</v>
      </c>
      <c r="C142" s="674"/>
      <c r="D142" s="540"/>
      <c r="E142" s="540"/>
      <c r="F142" s="481">
        <v>35360</v>
      </c>
      <c r="G142" s="557">
        <v>2.2629999999999999</v>
      </c>
      <c r="H142" s="543">
        <f>SUM(I142:M142)</f>
        <v>92917.988440000001</v>
      </c>
      <c r="I142" s="466">
        <v>92917.988440000001</v>
      </c>
      <c r="J142" s="466">
        <v>0</v>
      </c>
      <c r="K142" s="464">
        <v>0</v>
      </c>
      <c r="L142" s="465">
        <v>0</v>
      </c>
      <c r="M142" s="483">
        <v>0</v>
      </c>
    </row>
    <row r="143" spans="1:15" x14ac:dyDescent="0.25">
      <c r="B143" s="478" t="s">
        <v>139</v>
      </c>
      <c r="C143" s="674"/>
      <c r="D143" s="540"/>
      <c r="E143" s="571"/>
      <c r="F143" s="481">
        <v>44398</v>
      </c>
      <c r="G143" s="557">
        <v>1.95</v>
      </c>
      <c r="H143" s="543">
        <f t="shared" ref="H143:H160" si="10">SUM(I143:M143)</f>
        <v>158534.92733999999</v>
      </c>
      <c r="I143" s="466">
        <f>169625.82003-11090.89269</f>
        <v>158534.92733999999</v>
      </c>
      <c r="J143" s="466">
        <v>0</v>
      </c>
      <c r="K143" s="464">
        <v>0</v>
      </c>
      <c r="L143" s="465">
        <v>0</v>
      </c>
      <c r="M143" s="561">
        <v>0</v>
      </c>
    </row>
    <row r="144" spans="1:15" x14ac:dyDescent="0.25">
      <c r="B144" s="478" t="s">
        <v>30</v>
      </c>
      <c r="C144" s="674"/>
      <c r="D144" s="540"/>
      <c r="E144" s="540"/>
      <c r="F144" s="481">
        <v>10350</v>
      </c>
      <c r="G144" s="557">
        <v>0.68200000000000005</v>
      </c>
      <c r="H144" s="543">
        <f t="shared" si="10"/>
        <v>32108.489030000001</v>
      </c>
      <c r="I144" s="543">
        <v>32108.489030000001</v>
      </c>
      <c r="J144" s="466">
        <v>0</v>
      </c>
      <c r="K144" s="464">
        <v>0</v>
      </c>
      <c r="L144" s="465">
        <v>0</v>
      </c>
      <c r="M144" s="561">
        <v>0</v>
      </c>
    </row>
    <row r="145" spans="2:17" s="277" customFormat="1" ht="33" x14ac:dyDescent="0.25">
      <c r="B145" s="478" t="s">
        <v>180</v>
      </c>
      <c r="C145" s="674"/>
      <c r="D145" s="540"/>
      <c r="E145" s="540"/>
      <c r="F145" s="481">
        <f>1340*20</f>
        <v>26800</v>
      </c>
      <c r="G145" s="557">
        <v>1.34</v>
      </c>
      <c r="H145" s="543">
        <f t="shared" si="10"/>
        <v>91884.078980000006</v>
      </c>
      <c r="I145" s="543">
        <v>0</v>
      </c>
      <c r="J145" s="466">
        <f>88669+3117.6141+97.46488</f>
        <v>91884.078980000006</v>
      </c>
      <c r="K145" s="465">
        <v>0</v>
      </c>
      <c r="L145" s="465">
        <v>0</v>
      </c>
      <c r="M145" s="561">
        <v>0</v>
      </c>
      <c r="N145" s="284"/>
      <c r="O145" s="277" t="s">
        <v>428</v>
      </c>
      <c r="P145" s="285">
        <f>147869973.07</f>
        <v>147869973.06999999</v>
      </c>
      <c r="Q145" s="286">
        <v>141284002.91999999</v>
      </c>
    </row>
    <row r="146" spans="2:17" s="277" customFormat="1" ht="33" x14ac:dyDescent="0.25">
      <c r="B146" s="478" t="s">
        <v>405</v>
      </c>
      <c r="C146" s="674"/>
      <c r="D146" s="540"/>
      <c r="E146" s="540"/>
      <c r="F146" s="481">
        <f>2600*20</f>
        <v>52000</v>
      </c>
      <c r="G146" s="557">
        <f>2.6</f>
        <v>2.6</v>
      </c>
      <c r="H146" s="543">
        <f t="shared" si="10"/>
        <v>141186.55783999999</v>
      </c>
      <c r="I146" s="543">
        <v>0</v>
      </c>
      <c r="J146" s="465">
        <v>141186.55783999999</v>
      </c>
      <c r="K146" s="465">
        <v>0</v>
      </c>
      <c r="L146" s="465">
        <v>0</v>
      </c>
      <c r="M146" s="561">
        <v>0</v>
      </c>
      <c r="N146" s="287">
        <f>J146-141186.55784</f>
        <v>0</v>
      </c>
      <c r="O146" s="277" t="s">
        <v>429</v>
      </c>
      <c r="P146" s="285">
        <v>197980422.31</v>
      </c>
    </row>
    <row r="147" spans="2:17" s="277" customFormat="1" x14ac:dyDescent="0.25">
      <c r="B147" s="478" t="s">
        <v>181</v>
      </c>
      <c r="C147" s="674"/>
      <c r="D147" s="540"/>
      <c r="E147" s="540"/>
      <c r="F147" s="481">
        <f>830*14</f>
        <v>11620</v>
      </c>
      <c r="G147" s="557">
        <v>0.83</v>
      </c>
      <c r="H147" s="543">
        <f t="shared" si="10"/>
        <v>56709.861400000002</v>
      </c>
      <c r="I147" s="543">
        <v>0</v>
      </c>
      <c r="J147" s="172">
        <v>56709.861400000002</v>
      </c>
      <c r="K147" s="466">
        <v>0</v>
      </c>
      <c r="L147" s="465">
        <v>0</v>
      </c>
      <c r="M147" s="561">
        <v>0</v>
      </c>
      <c r="N147" s="284"/>
    </row>
    <row r="148" spans="2:17" s="279" customFormat="1" ht="50.25" customHeight="1" x14ac:dyDescent="0.25">
      <c r="B148" s="492" t="s">
        <v>620</v>
      </c>
      <c r="C148" s="674"/>
      <c r="D148" s="540"/>
      <c r="E148" s="540"/>
      <c r="F148" s="490">
        <v>22400</v>
      </c>
      <c r="G148" s="482">
        <v>1.4</v>
      </c>
      <c r="H148" s="543">
        <f t="shared" si="10"/>
        <v>66985.179596000002</v>
      </c>
      <c r="I148" s="543">
        <v>0</v>
      </c>
      <c r="J148" s="466">
        <v>0</v>
      </c>
      <c r="K148" s="466">
        <f>'перечень объектов'!C249</f>
        <v>66985.179596000002</v>
      </c>
      <c r="L148" s="465">
        <v>0</v>
      </c>
      <c r="M148" s="561">
        <v>0</v>
      </c>
      <c r="N148" s="253"/>
      <c r="O148" s="251"/>
    </row>
    <row r="149" spans="2:17" s="279" customFormat="1" x14ac:dyDescent="0.25">
      <c r="B149" s="492" t="s">
        <v>785</v>
      </c>
      <c r="C149" s="674"/>
      <c r="D149" s="540"/>
      <c r="E149" s="540"/>
      <c r="F149" s="490">
        <v>10361.86</v>
      </c>
      <c r="G149" s="560">
        <v>0.94</v>
      </c>
      <c r="H149" s="543">
        <f t="shared" ref="H149:H154" si="11">SUM(I149:M149)</f>
        <v>16320.057229999999</v>
      </c>
      <c r="I149" s="468">
        <v>0</v>
      </c>
      <c r="J149" s="468">
        <v>0</v>
      </c>
      <c r="K149" s="468">
        <f>'перечень объектов'!C250</f>
        <v>16320.057229999999</v>
      </c>
      <c r="L149" s="468">
        <v>0</v>
      </c>
      <c r="M149" s="558">
        <v>0</v>
      </c>
      <c r="N149" s="253"/>
      <c r="O149" s="250"/>
    </row>
    <row r="150" spans="2:17" s="279" customFormat="1" x14ac:dyDescent="0.25">
      <c r="B150" s="492" t="str">
        <f>'перечень объектов'!B251</f>
        <v>Ремонт ул. Советская (восстановление бортовых камней)</v>
      </c>
      <c r="C150" s="674"/>
      <c r="D150" s="540"/>
      <c r="E150" s="540"/>
      <c r="F150" s="490" t="s">
        <v>222</v>
      </c>
      <c r="G150" s="557">
        <v>1.9830000000000001</v>
      </c>
      <c r="H150" s="543">
        <f t="shared" si="11"/>
        <v>5361.1369599999998</v>
      </c>
      <c r="I150" s="468">
        <v>0</v>
      </c>
      <c r="J150" s="468">
        <v>0</v>
      </c>
      <c r="K150" s="468">
        <f>'перечень объектов'!C251</f>
        <v>5361.1369599999998</v>
      </c>
      <c r="L150" s="468">
        <v>0</v>
      </c>
      <c r="M150" s="558">
        <v>0</v>
      </c>
      <c r="N150" s="253"/>
      <c r="O150" s="250"/>
    </row>
    <row r="151" spans="2:17" s="279" customFormat="1" ht="33" x14ac:dyDescent="0.25">
      <c r="B151" s="478" t="str">
        <f>'перечень объектов'!B252</f>
        <v>Ремонт ул.Пролетарская Гора от ул.Салтыкова-Щедрина до ул. Максима Горького, от дома №5 до ул.Ленина (1 этап)</v>
      </c>
      <c r="C151" s="674"/>
      <c r="D151" s="540"/>
      <c r="E151" s="540"/>
      <c r="F151" s="490">
        <v>2176</v>
      </c>
      <c r="G151" s="557">
        <v>0.14599999999999999</v>
      </c>
      <c r="H151" s="543">
        <f t="shared" si="11"/>
        <v>1933.23164</v>
      </c>
      <c r="I151" s="468">
        <v>0</v>
      </c>
      <c r="J151" s="468">
        <v>0</v>
      </c>
      <c r="K151" s="468">
        <f>'перечень объектов'!C252</f>
        <v>1933.23164</v>
      </c>
      <c r="L151" s="468">
        <v>0</v>
      </c>
      <c r="M151" s="558">
        <v>0</v>
      </c>
      <c r="N151" s="253"/>
      <c r="O151" s="250"/>
    </row>
    <row r="152" spans="2:17" s="279" customFormat="1" ht="33" x14ac:dyDescent="0.25">
      <c r="B152" s="478" t="str">
        <f>'перечень объектов'!B253</f>
        <v>Ремонт ул.Пролетарская Гора от ул.Салтыкова-Щедрина до ул. Максима Горького, от дома №5 до ул.Ленина (2 этап)</v>
      </c>
      <c r="C152" s="674"/>
      <c r="D152" s="540"/>
      <c r="E152" s="540"/>
      <c r="F152" s="490">
        <v>6874</v>
      </c>
      <c r="G152" s="557">
        <v>0.48599999999999999</v>
      </c>
      <c r="H152" s="543">
        <f t="shared" si="11"/>
        <v>8655.0218600000007</v>
      </c>
      <c r="I152" s="468">
        <v>0</v>
      </c>
      <c r="J152" s="468">
        <v>0</v>
      </c>
      <c r="K152" s="468">
        <f>'перечень объектов'!C253</f>
        <v>8655.0218600000007</v>
      </c>
      <c r="L152" s="468">
        <v>0</v>
      </c>
      <c r="M152" s="558">
        <v>0</v>
      </c>
      <c r="N152" s="253"/>
      <c r="O152" s="250"/>
    </row>
    <row r="153" spans="2:17" s="279" customFormat="1" x14ac:dyDescent="0.25">
      <c r="B153" s="478" t="s">
        <v>676</v>
      </c>
      <c r="C153" s="674"/>
      <c r="D153" s="540"/>
      <c r="E153" s="540"/>
      <c r="F153" s="490">
        <v>7015</v>
      </c>
      <c r="G153" s="557">
        <v>0.23</v>
      </c>
      <c r="H153" s="543">
        <f t="shared" si="11"/>
        <v>3795.2195099999999</v>
      </c>
      <c r="I153" s="468">
        <v>0</v>
      </c>
      <c r="J153" s="468">
        <v>0</v>
      </c>
      <c r="K153" s="468">
        <f>'перечень объектов'!C255</f>
        <v>3795.2195099999999</v>
      </c>
      <c r="L153" s="468">
        <v>0</v>
      </c>
      <c r="M153" s="558">
        <v>0</v>
      </c>
      <c r="N153" s="253"/>
      <c r="O153" s="250"/>
    </row>
    <row r="154" spans="2:17" s="279" customFormat="1" ht="99" x14ac:dyDescent="0.25">
      <c r="B154" s="478" t="str">
        <f>'перечень объектов'!B254</f>
        <v>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v>
      </c>
      <c r="C154" s="674"/>
      <c r="D154" s="540"/>
      <c r="E154" s="540"/>
      <c r="F154" s="490"/>
      <c r="G154" s="557"/>
      <c r="H154" s="543">
        <f t="shared" si="11"/>
        <v>102069.92543434343</v>
      </c>
      <c r="I154" s="468">
        <v>0</v>
      </c>
      <c r="J154" s="468">
        <v>0</v>
      </c>
      <c r="K154" s="468">
        <f>'перечень объектов'!C254</f>
        <v>102069.92543434343</v>
      </c>
      <c r="L154" s="468">
        <v>0</v>
      </c>
      <c r="M154" s="558">
        <v>0</v>
      </c>
      <c r="N154" s="253"/>
      <c r="O154" s="250"/>
    </row>
    <row r="155" spans="2:17" x14ac:dyDescent="0.25">
      <c r="B155" s="478" t="s">
        <v>507</v>
      </c>
      <c r="C155" s="674"/>
      <c r="D155" s="540"/>
      <c r="E155" s="540"/>
      <c r="F155" s="481">
        <f>1450*8</f>
        <v>11600</v>
      </c>
      <c r="G155" s="557">
        <v>1.45</v>
      </c>
      <c r="H155" s="543">
        <f t="shared" si="10"/>
        <v>86344.368130000003</v>
      </c>
      <c r="I155" s="466">
        <v>0</v>
      </c>
      <c r="J155" s="466">
        <v>86344.368130000003</v>
      </c>
      <c r="K155" s="466">
        <v>0</v>
      </c>
      <c r="L155" s="465">
        <v>0</v>
      </c>
      <c r="M155" s="561">
        <v>0</v>
      </c>
      <c r="O155" s="249"/>
      <c r="P155" s="269"/>
    </row>
    <row r="156" spans="2:17" ht="66" x14ac:dyDescent="0.25">
      <c r="B156" s="478" t="s">
        <v>624</v>
      </c>
      <c r="C156" s="674"/>
      <c r="D156" s="540"/>
      <c r="E156" s="540"/>
      <c r="F156" s="481">
        <f>1830*8</f>
        <v>14640</v>
      </c>
      <c r="G156" s="557">
        <v>1.83</v>
      </c>
      <c r="H156" s="543">
        <f t="shared" si="10"/>
        <v>46380.588199999998</v>
      </c>
      <c r="I156" s="466">
        <v>0</v>
      </c>
      <c r="J156" s="466">
        <v>46380.588199999998</v>
      </c>
      <c r="K156" s="466">
        <v>0</v>
      </c>
      <c r="L156" s="465">
        <v>0</v>
      </c>
      <c r="M156" s="561">
        <v>0</v>
      </c>
      <c r="N156" s="249"/>
      <c r="O156" s="288">
        <f>300000000/0.99</f>
        <v>303030303.03030306</v>
      </c>
      <c r="P156" s="269"/>
    </row>
    <row r="157" spans="2:17" x14ac:dyDescent="0.25">
      <c r="B157" s="478" t="s">
        <v>182</v>
      </c>
      <c r="C157" s="674"/>
      <c r="D157" s="540"/>
      <c r="E157" s="540"/>
      <c r="F157" s="481">
        <f>3070*8</f>
        <v>24560</v>
      </c>
      <c r="G157" s="557">
        <v>3.07</v>
      </c>
      <c r="H157" s="543">
        <f t="shared" si="10"/>
        <v>303030.30303000001</v>
      </c>
      <c r="I157" s="466">
        <v>0</v>
      </c>
      <c r="J157" s="466">
        <v>0</v>
      </c>
      <c r="K157" s="465">
        <v>0</v>
      </c>
      <c r="L157" s="465">
        <v>0</v>
      </c>
      <c r="M157" s="561">
        <v>303030.30303000001</v>
      </c>
    </row>
    <row r="158" spans="2:17" x14ac:dyDescent="0.25">
      <c r="B158" s="478" t="s">
        <v>793</v>
      </c>
      <c r="C158" s="674"/>
      <c r="D158" s="540"/>
      <c r="E158" s="540"/>
      <c r="F158" s="481">
        <f>G158*22000</f>
        <v>23760</v>
      </c>
      <c r="G158" s="557">
        <v>1.08</v>
      </c>
      <c r="H158" s="543">
        <f t="shared" si="10"/>
        <v>303030.30303000001</v>
      </c>
      <c r="I158" s="466">
        <v>0</v>
      </c>
      <c r="J158" s="466">
        <v>0</v>
      </c>
      <c r="K158" s="465">
        <v>0</v>
      </c>
      <c r="L158" s="465">
        <v>303030.30303000001</v>
      </c>
      <c r="M158" s="561">
        <v>0</v>
      </c>
      <c r="N158" s="289"/>
      <c r="O158" s="290"/>
      <c r="P158" s="269"/>
    </row>
    <row r="159" spans="2:17" x14ac:dyDescent="0.25">
      <c r="B159" s="492" t="s">
        <v>26</v>
      </c>
      <c r="C159" s="674"/>
      <c r="D159" s="540"/>
      <c r="E159" s="540"/>
      <c r="F159" s="481"/>
      <c r="G159" s="557"/>
      <c r="H159" s="543">
        <f>SUM(I159:M159)</f>
        <v>83546.059510000006</v>
      </c>
      <c r="I159" s="466">
        <f>91.87364+81.7215+83372.46437</f>
        <v>83546.059510000006</v>
      </c>
      <c r="J159" s="466">
        <v>0</v>
      </c>
      <c r="K159" s="465">
        <v>0</v>
      </c>
      <c r="L159" s="465">
        <v>0</v>
      </c>
      <c r="M159" s="561">
        <v>0</v>
      </c>
      <c r="O159" s="251" t="e">
        <f>#REF!/0.99</f>
        <v>#REF!</v>
      </c>
    </row>
    <row r="160" spans="2:17" ht="33" x14ac:dyDescent="0.25">
      <c r="B160" s="492" t="s">
        <v>27</v>
      </c>
      <c r="C160" s="675"/>
      <c r="D160" s="540"/>
      <c r="E160" s="540"/>
      <c r="F160" s="481"/>
      <c r="G160" s="557"/>
      <c r="H160" s="543">
        <f t="shared" si="10"/>
        <v>10175.769749999999</v>
      </c>
      <c r="I160" s="466">
        <v>885.322</v>
      </c>
      <c r="J160" s="466">
        <v>3031</v>
      </c>
      <c r="K160" s="466">
        <v>228.44775000000001</v>
      </c>
      <c r="L160" s="465">
        <v>3031</v>
      </c>
      <c r="M160" s="561">
        <v>3000</v>
      </c>
    </row>
    <row r="161" spans="2:16" hidden="1" outlineLevel="1" x14ac:dyDescent="0.25">
      <c r="B161" s="492" t="s">
        <v>31</v>
      </c>
      <c r="C161" s="540"/>
      <c r="D161" s="540"/>
      <c r="E161" s="540"/>
      <c r="F161" s="541"/>
      <c r="G161" s="542"/>
      <c r="H161" s="466"/>
      <c r="I161" s="466">
        <v>0</v>
      </c>
      <c r="J161" s="466">
        <v>0</v>
      </c>
      <c r="K161" s="466">
        <v>0</v>
      </c>
      <c r="L161" s="466">
        <v>0</v>
      </c>
      <c r="M161" s="483">
        <v>0</v>
      </c>
    </row>
    <row r="162" spans="2:16" ht="17.25" collapsed="1" x14ac:dyDescent="0.25">
      <c r="B162" s="549" t="s">
        <v>16</v>
      </c>
      <c r="C162" s="540"/>
      <c r="D162" s="540"/>
      <c r="E162" s="540"/>
      <c r="F162" s="541"/>
      <c r="G162" s="479"/>
      <c r="H162" s="464"/>
      <c r="I162" s="668"/>
      <c r="J162" s="669"/>
      <c r="K162" s="669"/>
      <c r="L162" s="669"/>
      <c r="M162" s="670"/>
    </row>
    <row r="163" spans="2:16" x14ac:dyDescent="0.25">
      <c r="B163" s="492" t="s">
        <v>77</v>
      </c>
      <c r="C163" s="540"/>
      <c r="D163" s="540"/>
      <c r="E163" s="540"/>
      <c r="F163" s="541"/>
      <c r="G163" s="479"/>
      <c r="H163" s="466">
        <f>SUM(I163:M163)</f>
        <v>0</v>
      </c>
      <c r="I163" s="465">
        <v>0</v>
      </c>
      <c r="J163" s="465">
        <v>0</v>
      </c>
      <c r="K163" s="465">
        <f>'перечень объектов'!D248</f>
        <v>0</v>
      </c>
      <c r="L163" s="465">
        <v>0</v>
      </c>
      <c r="M163" s="483">
        <v>0</v>
      </c>
    </row>
    <row r="164" spans="2:16" x14ac:dyDescent="0.25">
      <c r="B164" s="492" t="s">
        <v>505</v>
      </c>
      <c r="C164" s="540"/>
      <c r="D164" s="540"/>
      <c r="E164" s="540"/>
      <c r="F164" s="541"/>
      <c r="G164" s="479"/>
      <c r="H164" s="466">
        <f>SUM(I164:M164)</f>
        <v>0</v>
      </c>
      <c r="I164" s="465">
        <v>0</v>
      </c>
      <c r="J164" s="465">
        <f>'перечень объектов'!E183</f>
        <v>0</v>
      </c>
      <c r="K164" s="465">
        <f>'перечень объектов'!E248</f>
        <v>0</v>
      </c>
      <c r="L164" s="465">
        <v>0</v>
      </c>
      <c r="M164" s="483">
        <v>0</v>
      </c>
      <c r="O164" s="251">
        <f>K165/99</f>
        <v>2051.1977225054547</v>
      </c>
      <c r="P164" s="250">
        <f>K165+O164</f>
        <v>205119.77225054547</v>
      </c>
    </row>
    <row r="165" spans="2:16" x14ac:dyDescent="0.25">
      <c r="B165" s="492" t="s">
        <v>9</v>
      </c>
      <c r="C165" s="540"/>
      <c r="D165" s="540"/>
      <c r="E165" s="540"/>
      <c r="F165" s="541"/>
      <c r="G165" s="542"/>
      <c r="H165" s="466">
        <f>SUM(I165:M165)</f>
        <v>1584613.5050204401</v>
      </c>
      <c r="I165" s="465">
        <v>363264.53048820002</v>
      </c>
      <c r="J165" s="465">
        <f>'перечень объектов'!F183</f>
        <v>418280.40000449994</v>
      </c>
      <c r="K165" s="648">
        <f>'перечень объектов'!F248</f>
        <v>203068.57452804002</v>
      </c>
      <c r="L165" s="465">
        <f>'перечень объектов'!F353</f>
        <v>299999.9999997</v>
      </c>
      <c r="M165" s="483">
        <v>300000</v>
      </c>
      <c r="N165" s="249">
        <f>K165+K166</f>
        <v>205348.21998034345</v>
      </c>
      <c r="O165" s="250">
        <f>N165/99</f>
        <v>2074.2244442458932</v>
      </c>
      <c r="P165" s="250">
        <f>N165+O165</f>
        <v>207422.44442458934</v>
      </c>
    </row>
    <row r="166" spans="2:16" x14ac:dyDescent="0.25">
      <c r="B166" s="492" t="s">
        <v>10</v>
      </c>
      <c r="C166" s="540"/>
      <c r="D166" s="540"/>
      <c r="E166" s="540"/>
      <c r="F166" s="572"/>
      <c r="G166" s="573"/>
      <c r="H166" s="477">
        <f>SUM(I166:M166)</f>
        <v>24119.103028103455</v>
      </c>
      <c r="I166" s="465">
        <v>5522.1</v>
      </c>
      <c r="J166" s="465">
        <f>'перечень объектов'!G183</f>
        <v>7256.0545455000101</v>
      </c>
      <c r="K166" s="465">
        <f>'перечень объектов'!G248</f>
        <v>2279.6454523034313</v>
      </c>
      <c r="L166" s="465">
        <f>'перечень объектов'!G353</f>
        <v>6061.3030303000123</v>
      </c>
      <c r="M166" s="574">
        <v>3000</v>
      </c>
      <c r="N166" s="249">
        <f>N165-K139</f>
        <v>0</v>
      </c>
      <c r="P166" s="250">
        <f>P165-P164</f>
        <v>2302.6721740438661</v>
      </c>
    </row>
    <row r="167" spans="2:16" ht="17.25" x14ac:dyDescent="0.25">
      <c r="B167" s="664"/>
      <c r="C167" s="665"/>
      <c r="D167" s="665"/>
      <c r="E167" s="665"/>
      <c r="F167" s="666"/>
      <c r="G167" s="666"/>
      <c r="H167" s="666"/>
      <c r="I167" s="666"/>
      <c r="J167" s="666"/>
      <c r="K167" s="666"/>
      <c r="L167" s="666"/>
      <c r="M167" s="667"/>
    </row>
    <row r="168" spans="2:16" x14ac:dyDescent="0.25">
      <c r="B168" s="534" t="s">
        <v>132</v>
      </c>
      <c r="C168" s="575"/>
      <c r="D168" s="576"/>
      <c r="E168" s="535"/>
      <c r="F168" s="715" t="s">
        <v>114</v>
      </c>
      <c r="G168" s="716"/>
      <c r="H168" s="577"/>
      <c r="I168" s="476"/>
      <c r="J168" s="474"/>
      <c r="K168" s="459"/>
      <c r="L168" s="472"/>
      <c r="M168" s="536"/>
    </row>
    <row r="169" spans="2:16" ht="90" customHeight="1" x14ac:dyDescent="0.25">
      <c r="B169" s="537" t="s">
        <v>13</v>
      </c>
      <c r="C169" s="676" t="s">
        <v>317</v>
      </c>
      <c r="D169" s="538">
        <v>2022</v>
      </c>
      <c r="E169" s="538">
        <v>2026</v>
      </c>
      <c r="F169" s="717"/>
      <c r="G169" s="718"/>
      <c r="H169" s="578">
        <f t="shared" ref="H169:M169" si="12">SUM(H170:H197)</f>
        <v>17230.651080800002</v>
      </c>
      <c r="I169" s="457">
        <f>SUM(I170:I197)</f>
        <v>9330.6510808000021</v>
      </c>
      <c r="J169" s="457">
        <f t="shared" si="12"/>
        <v>2200</v>
      </c>
      <c r="K169" s="457">
        <f t="shared" si="12"/>
        <v>1300</v>
      </c>
      <c r="L169" s="457">
        <f t="shared" si="12"/>
        <v>2200</v>
      </c>
      <c r="M169" s="529">
        <f t="shared" si="12"/>
        <v>2200</v>
      </c>
      <c r="N169" s="249">
        <f>SUM(I169:M169)</f>
        <v>17230.651080800002</v>
      </c>
    </row>
    <row r="170" spans="2:16" hidden="1" x14ac:dyDescent="0.25">
      <c r="B170" s="582" t="s">
        <v>32</v>
      </c>
      <c r="C170" s="677"/>
      <c r="D170" s="567"/>
      <c r="E170" s="540"/>
      <c r="F170" s="541"/>
      <c r="G170" s="579" t="s">
        <v>85</v>
      </c>
      <c r="H170" s="580">
        <f>SUM(I170:M170)</f>
        <v>0</v>
      </c>
      <c r="I170" s="471">
        <f>500-500</f>
        <v>0</v>
      </c>
      <c r="J170" s="466">
        <v>0</v>
      </c>
      <c r="K170" s="466">
        <v>0</v>
      </c>
      <c r="L170" s="466">
        <v>0</v>
      </c>
      <c r="M170" s="483">
        <v>0</v>
      </c>
    </row>
    <row r="171" spans="2:16" hidden="1" x14ac:dyDescent="0.25">
      <c r="B171" s="582" t="s">
        <v>33</v>
      </c>
      <c r="C171" s="677"/>
      <c r="D171" s="567"/>
      <c r="E171" s="540"/>
      <c r="F171" s="541"/>
      <c r="G171" s="579" t="s">
        <v>86</v>
      </c>
      <c r="H171" s="580">
        <f t="shared" ref="H171:H197" si="13">SUM(I171:M171)</f>
        <v>0</v>
      </c>
      <c r="I171" s="471">
        <f>700-700</f>
        <v>0</v>
      </c>
      <c r="J171" s="466">
        <v>0</v>
      </c>
      <c r="K171" s="466">
        <v>0</v>
      </c>
      <c r="L171" s="466">
        <v>0</v>
      </c>
      <c r="M171" s="483">
        <v>0</v>
      </c>
    </row>
    <row r="172" spans="2:16" ht="33" x14ac:dyDescent="0.25">
      <c r="B172" s="582" t="s">
        <v>146</v>
      </c>
      <c r="C172" s="677"/>
      <c r="D172" s="567"/>
      <c r="E172" s="540"/>
      <c r="F172" s="541"/>
      <c r="G172" s="579"/>
      <c r="H172" s="580">
        <f t="shared" si="13"/>
        <v>1051</v>
      </c>
      <c r="I172" s="471">
        <v>150</v>
      </c>
      <c r="J172" s="471">
        <v>150</v>
      </c>
      <c r="K172" s="471">
        <v>451</v>
      </c>
      <c r="L172" s="471">
        <v>150</v>
      </c>
      <c r="M172" s="548">
        <v>150</v>
      </c>
    </row>
    <row r="173" spans="2:16" ht="33" x14ac:dyDescent="0.25">
      <c r="B173" s="582" t="s">
        <v>147</v>
      </c>
      <c r="C173" s="677"/>
      <c r="D173" s="567"/>
      <c r="E173" s="540"/>
      <c r="F173" s="541"/>
      <c r="G173" s="579"/>
      <c r="H173" s="580">
        <f t="shared" si="13"/>
        <v>600</v>
      </c>
      <c r="I173" s="471">
        <v>150</v>
      </c>
      <c r="J173" s="471">
        <v>150</v>
      </c>
      <c r="K173" s="471">
        <v>0</v>
      </c>
      <c r="L173" s="471">
        <v>150</v>
      </c>
      <c r="M173" s="548">
        <v>150</v>
      </c>
    </row>
    <row r="174" spans="2:16" s="292" customFormat="1" ht="49.5" x14ac:dyDescent="0.25">
      <c r="B174" s="582" t="s">
        <v>252</v>
      </c>
      <c r="C174" s="677"/>
      <c r="D174" s="567"/>
      <c r="E174" s="540"/>
      <c r="F174" s="541"/>
      <c r="G174" s="581" t="s">
        <v>205</v>
      </c>
      <c r="H174" s="580">
        <f t="shared" si="13"/>
        <v>937.91759999999999</v>
      </c>
      <c r="I174" s="471">
        <f>937.9176</f>
        <v>937.91759999999999</v>
      </c>
      <c r="J174" s="466">
        <v>0</v>
      </c>
      <c r="K174" s="466">
        <v>0</v>
      </c>
      <c r="L174" s="466">
        <v>0</v>
      </c>
      <c r="M174" s="483">
        <v>0</v>
      </c>
      <c r="N174" s="291" t="s">
        <v>388</v>
      </c>
    </row>
    <row r="175" spans="2:16" s="292" customFormat="1" ht="49.5" x14ac:dyDescent="0.25">
      <c r="B175" s="582" t="s">
        <v>253</v>
      </c>
      <c r="C175" s="677"/>
      <c r="D175" s="567"/>
      <c r="E175" s="540"/>
      <c r="F175" s="541"/>
      <c r="G175" s="581" t="s">
        <v>205</v>
      </c>
      <c r="H175" s="580">
        <f t="shared" si="13"/>
        <v>940.24440000000004</v>
      </c>
      <c r="I175" s="471">
        <f>940.2444</f>
        <v>940.24440000000004</v>
      </c>
      <c r="J175" s="466">
        <v>0</v>
      </c>
      <c r="K175" s="466">
        <v>0</v>
      </c>
      <c r="L175" s="466">
        <v>0</v>
      </c>
      <c r="M175" s="483">
        <v>0</v>
      </c>
      <c r="N175" s="291" t="s">
        <v>388</v>
      </c>
    </row>
    <row r="176" spans="2:16" s="292" customFormat="1" ht="49.5" x14ac:dyDescent="0.25">
      <c r="B176" s="582" t="s">
        <v>254</v>
      </c>
      <c r="C176" s="677"/>
      <c r="D176" s="567"/>
      <c r="E176" s="540"/>
      <c r="F176" s="541"/>
      <c r="G176" s="581" t="s">
        <v>205</v>
      </c>
      <c r="H176" s="580">
        <f t="shared" si="13"/>
        <v>467.87470000000002</v>
      </c>
      <c r="I176" s="471">
        <f>467.8747</f>
        <v>467.87470000000002</v>
      </c>
      <c r="J176" s="466">
        <v>0</v>
      </c>
      <c r="K176" s="466">
        <v>0</v>
      </c>
      <c r="L176" s="466">
        <v>0</v>
      </c>
      <c r="M176" s="483">
        <v>0</v>
      </c>
      <c r="N176" s="291" t="s">
        <v>388</v>
      </c>
    </row>
    <row r="177" spans="2:14" s="292" customFormat="1" x14ac:dyDescent="0.25">
      <c r="B177" s="582" t="s">
        <v>386</v>
      </c>
      <c r="C177" s="677"/>
      <c r="D177" s="567"/>
      <c r="E177" s="540"/>
      <c r="F177" s="541"/>
      <c r="G177" s="579"/>
      <c r="H177" s="580">
        <f t="shared" si="13"/>
        <v>58.090919999999997</v>
      </c>
      <c r="I177" s="471">
        <v>58.090919999999997</v>
      </c>
      <c r="J177" s="466">
        <v>0</v>
      </c>
      <c r="K177" s="466">
        <v>0</v>
      </c>
      <c r="L177" s="466">
        <v>0</v>
      </c>
      <c r="M177" s="483">
        <v>0</v>
      </c>
      <c r="N177" s="291" t="s">
        <v>388</v>
      </c>
    </row>
    <row r="178" spans="2:14" s="294" customFormat="1" ht="49.5" hidden="1" outlineLevel="1" x14ac:dyDescent="0.25">
      <c r="B178" s="582" t="s">
        <v>275</v>
      </c>
      <c r="C178" s="677"/>
      <c r="D178" s="567"/>
      <c r="E178" s="540"/>
      <c r="F178" s="541"/>
      <c r="G178" s="579"/>
      <c r="H178" s="580">
        <f t="shared" si="13"/>
        <v>0</v>
      </c>
      <c r="I178" s="471">
        <f>1590154/1000-1590.154</f>
        <v>0</v>
      </c>
      <c r="J178" s="466">
        <v>0</v>
      </c>
      <c r="K178" s="466">
        <v>0</v>
      </c>
      <c r="L178" s="466">
        <v>0</v>
      </c>
      <c r="M178" s="483">
        <v>0</v>
      </c>
      <c r="N178" s="293"/>
    </row>
    <row r="179" spans="2:14" s="294" customFormat="1" ht="49.5" hidden="1" outlineLevel="1" x14ac:dyDescent="0.25">
      <c r="B179" s="582" t="s">
        <v>276</v>
      </c>
      <c r="C179" s="677"/>
      <c r="D179" s="567"/>
      <c r="E179" s="540"/>
      <c r="F179" s="541"/>
      <c r="G179" s="579"/>
      <c r="H179" s="580">
        <f t="shared" si="13"/>
        <v>0</v>
      </c>
      <c r="I179" s="471">
        <f>966094/1000-966.094</f>
        <v>0</v>
      </c>
      <c r="J179" s="466">
        <v>0</v>
      </c>
      <c r="K179" s="466">
        <v>0</v>
      </c>
      <c r="L179" s="466">
        <v>0</v>
      </c>
      <c r="M179" s="483">
        <v>0</v>
      </c>
      <c r="N179" s="295"/>
    </row>
    <row r="180" spans="2:14" s="294" customFormat="1" ht="49.5" hidden="1" outlineLevel="1" x14ac:dyDescent="0.25">
      <c r="B180" s="582" t="s">
        <v>277</v>
      </c>
      <c r="C180" s="677"/>
      <c r="D180" s="567"/>
      <c r="E180" s="540"/>
      <c r="F180" s="541"/>
      <c r="G180" s="579"/>
      <c r="H180" s="580">
        <f t="shared" si="13"/>
        <v>0</v>
      </c>
      <c r="I180" s="471">
        <f>1270673/1000-1270.673</f>
        <v>0</v>
      </c>
      <c r="J180" s="466">
        <v>0</v>
      </c>
      <c r="K180" s="466">
        <v>0</v>
      </c>
      <c r="L180" s="466">
        <v>0</v>
      </c>
      <c r="M180" s="483">
        <v>0</v>
      </c>
      <c r="N180" s="295"/>
    </row>
    <row r="181" spans="2:14" s="294" customFormat="1" ht="49.5" hidden="1" outlineLevel="1" x14ac:dyDescent="0.25">
      <c r="B181" s="582" t="s">
        <v>274</v>
      </c>
      <c r="C181" s="677"/>
      <c r="D181" s="567"/>
      <c r="E181" s="540"/>
      <c r="F181" s="541"/>
      <c r="G181" s="579"/>
      <c r="H181" s="580">
        <f t="shared" si="13"/>
        <v>0</v>
      </c>
      <c r="I181" s="471">
        <f>2392052/1000-2392.052</f>
        <v>0</v>
      </c>
      <c r="J181" s="466">
        <v>0</v>
      </c>
      <c r="K181" s="466">
        <v>0</v>
      </c>
      <c r="L181" s="466">
        <v>0</v>
      </c>
      <c r="M181" s="483">
        <v>0</v>
      </c>
      <c r="N181" s="295"/>
    </row>
    <row r="182" spans="2:14" s="294" customFormat="1" ht="49.5" hidden="1" outlineLevel="1" x14ac:dyDescent="0.25">
      <c r="B182" s="582" t="s">
        <v>278</v>
      </c>
      <c r="C182" s="677"/>
      <c r="D182" s="567"/>
      <c r="E182" s="540"/>
      <c r="F182" s="541"/>
      <c r="G182" s="579"/>
      <c r="H182" s="580">
        <f t="shared" si="13"/>
        <v>0</v>
      </c>
      <c r="I182" s="471">
        <f>972435.6/1000-972.4356</f>
        <v>0</v>
      </c>
      <c r="J182" s="466">
        <v>0</v>
      </c>
      <c r="K182" s="466">
        <v>0</v>
      </c>
      <c r="L182" s="466">
        <v>0</v>
      </c>
      <c r="M182" s="483">
        <v>0</v>
      </c>
      <c r="N182" s="295"/>
    </row>
    <row r="183" spans="2:14" s="294" customFormat="1" ht="49.5" hidden="1" outlineLevel="1" x14ac:dyDescent="0.25">
      <c r="B183" s="582" t="s">
        <v>279</v>
      </c>
      <c r="C183" s="677"/>
      <c r="D183" s="567"/>
      <c r="E183" s="540"/>
      <c r="F183" s="541"/>
      <c r="G183" s="581"/>
      <c r="H183" s="580">
        <f t="shared" si="13"/>
        <v>0</v>
      </c>
      <c r="I183" s="471">
        <f>881194/1000-881.194</f>
        <v>0</v>
      </c>
      <c r="J183" s="466">
        <v>0</v>
      </c>
      <c r="K183" s="466">
        <v>0</v>
      </c>
      <c r="L183" s="466">
        <v>0</v>
      </c>
      <c r="M183" s="483">
        <v>0</v>
      </c>
      <c r="N183" s="295"/>
    </row>
    <row r="184" spans="2:14" s="294" customFormat="1" ht="49.5" hidden="1" outlineLevel="1" x14ac:dyDescent="0.25">
      <c r="B184" s="582" t="s">
        <v>280</v>
      </c>
      <c r="C184" s="677"/>
      <c r="D184" s="567"/>
      <c r="E184" s="540"/>
      <c r="F184" s="541"/>
      <c r="G184" s="581"/>
      <c r="H184" s="580">
        <f t="shared" si="13"/>
        <v>0</v>
      </c>
      <c r="I184" s="471">
        <f>1603699/1000-1603.699</f>
        <v>0</v>
      </c>
      <c r="J184" s="466">
        <v>0</v>
      </c>
      <c r="K184" s="466">
        <v>0</v>
      </c>
      <c r="L184" s="466">
        <v>0</v>
      </c>
      <c r="M184" s="483">
        <v>0</v>
      </c>
      <c r="N184" s="295"/>
    </row>
    <row r="185" spans="2:14" s="297" customFormat="1" ht="49.5" hidden="1" outlineLevel="1" x14ac:dyDescent="0.25">
      <c r="B185" s="582" t="s">
        <v>281</v>
      </c>
      <c r="C185" s="677"/>
      <c r="D185" s="567"/>
      <c r="E185" s="540"/>
      <c r="F185" s="541"/>
      <c r="G185" s="581"/>
      <c r="H185" s="580">
        <f t="shared" si="13"/>
        <v>0</v>
      </c>
      <c r="I185" s="471">
        <f>1203291.6/1000-1203.2916</f>
        <v>0</v>
      </c>
      <c r="J185" s="466">
        <v>0</v>
      </c>
      <c r="K185" s="466">
        <v>0</v>
      </c>
      <c r="L185" s="466">
        <v>0</v>
      </c>
      <c r="M185" s="483">
        <v>0</v>
      </c>
      <c r="N185" s="296"/>
    </row>
    <row r="186" spans="2:14" s="297" customFormat="1" ht="49.5" hidden="1" outlineLevel="1" x14ac:dyDescent="0.25">
      <c r="B186" s="582" t="s">
        <v>282</v>
      </c>
      <c r="C186" s="677"/>
      <c r="D186" s="567"/>
      <c r="E186" s="540"/>
      <c r="F186" s="541"/>
      <c r="G186" s="581"/>
      <c r="H186" s="580">
        <f t="shared" si="13"/>
        <v>0</v>
      </c>
      <c r="I186" s="471">
        <f>1468440/1000-1468.44</f>
        <v>0</v>
      </c>
      <c r="J186" s="466">
        <v>0</v>
      </c>
      <c r="K186" s="466">
        <v>0</v>
      </c>
      <c r="L186" s="466">
        <v>0</v>
      </c>
      <c r="M186" s="483">
        <v>0</v>
      </c>
      <c r="N186" s="296"/>
    </row>
    <row r="187" spans="2:14" s="297" customFormat="1" ht="49.5" hidden="1" outlineLevel="1" x14ac:dyDescent="0.25">
      <c r="B187" s="582" t="s">
        <v>283</v>
      </c>
      <c r="C187" s="677"/>
      <c r="D187" s="567"/>
      <c r="E187" s="540"/>
      <c r="F187" s="541"/>
      <c r="G187" s="581"/>
      <c r="H187" s="580">
        <f t="shared" si="13"/>
        <v>0</v>
      </c>
      <c r="I187" s="471">
        <f>861013.2/1000-861.0132</f>
        <v>0</v>
      </c>
      <c r="J187" s="466">
        <v>0</v>
      </c>
      <c r="K187" s="466">
        <v>0</v>
      </c>
      <c r="L187" s="466">
        <v>0</v>
      </c>
      <c r="M187" s="483">
        <v>0</v>
      </c>
      <c r="N187" s="296"/>
    </row>
    <row r="188" spans="2:14" s="297" customFormat="1" ht="49.5" hidden="1" outlineLevel="1" x14ac:dyDescent="0.25">
      <c r="B188" s="582" t="s">
        <v>320</v>
      </c>
      <c r="C188" s="677"/>
      <c r="D188" s="567"/>
      <c r="E188" s="540"/>
      <c r="F188" s="541"/>
      <c r="G188" s="581"/>
      <c r="H188" s="580">
        <f t="shared" si="13"/>
        <v>0</v>
      </c>
      <c r="I188" s="471">
        <f>800-800</f>
        <v>0</v>
      </c>
      <c r="J188" s="466">
        <v>0</v>
      </c>
      <c r="K188" s="466">
        <v>0</v>
      </c>
      <c r="L188" s="466">
        <v>0</v>
      </c>
      <c r="M188" s="483">
        <v>0</v>
      </c>
      <c r="N188" s="296"/>
    </row>
    <row r="189" spans="2:14" ht="49.5" collapsed="1" x14ac:dyDescent="0.25">
      <c r="B189" s="582" t="s">
        <v>210</v>
      </c>
      <c r="C189" s="677"/>
      <c r="D189" s="567"/>
      <c r="E189" s="540"/>
      <c r="F189" s="541"/>
      <c r="G189" s="581" t="s">
        <v>209</v>
      </c>
      <c r="H189" s="580">
        <f t="shared" si="13"/>
        <v>1603.2324000000001</v>
      </c>
      <c r="I189" s="471">
        <f>210.7344+560.1444+414.0648+418.2888</f>
        <v>1603.2324000000001</v>
      </c>
      <c r="J189" s="466">
        <v>0</v>
      </c>
      <c r="K189" s="466">
        <v>0</v>
      </c>
      <c r="L189" s="466">
        <v>0</v>
      </c>
      <c r="M189" s="483">
        <v>0</v>
      </c>
      <c r="N189" s="270"/>
    </row>
    <row r="190" spans="2:14" ht="49.5" x14ac:dyDescent="0.25">
      <c r="B190" s="582" t="s">
        <v>217</v>
      </c>
      <c r="C190" s="677"/>
      <c r="D190" s="567"/>
      <c r="E190" s="540"/>
      <c r="F190" s="541"/>
      <c r="G190" s="581" t="s">
        <v>205</v>
      </c>
      <c r="H190" s="580">
        <f t="shared" si="13"/>
        <v>2154.2671099999998</v>
      </c>
      <c r="I190" s="471">
        <f>2154.26711</f>
        <v>2154.2671099999998</v>
      </c>
      <c r="J190" s="466">
        <v>0</v>
      </c>
      <c r="K190" s="466">
        <v>0</v>
      </c>
      <c r="L190" s="466">
        <v>0</v>
      </c>
      <c r="M190" s="483">
        <v>0</v>
      </c>
      <c r="N190" s="270"/>
    </row>
    <row r="191" spans="2:14" ht="49.5" x14ac:dyDescent="0.25">
      <c r="B191" s="582" t="s">
        <v>218</v>
      </c>
      <c r="C191" s="677"/>
      <c r="D191" s="567"/>
      <c r="E191" s="540"/>
      <c r="F191" s="541"/>
      <c r="G191" s="581" t="s">
        <v>205</v>
      </c>
      <c r="H191" s="580">
        <f t="shared" si="13"/>
        <v>1489.1971007999998</v>
      </c>
      <c r="I191" s="471">
        <f>1489.24698-0.0473855-0.0023693-0.0001184-0.000006</f>
        <v>1489.1971007999998</v>
      </c>
      <c r="J191" s="466">
        <v>0</v>
      </c>
      <c r="K191" s="466">
        <v>0</v>
      </c>
      <c r="L191" s="466">
        <v>0</v>
      </c>
      <c r="M191" s="483">
        <v>0</v>
      </c>
    </row>
    <row r="192" spans="2:14" ht="49.5" x14ac:dyDescent="0.25">
      <c r="B192" s="582" t="s">
        <v>219</v>
      </c>
      <c r="C192" s="677"/>
      <c r="D192" s="567"/>
      <c r="E192" s="540"/>
      <c r="F192" s="541"/>
      <c r="G192" s="581" t="s">
        <v>205</v>
      </c>
      <c r="H192" s="580">
        <f t="shared" si="13"/>
        <v>408.76042000000001</v>
      </c>
      <c r="I192" s="471">
        <f>408.76042</f>
        <v>408.76042000000001</v>
      </c>
      <c r="J192" s="466">
        <v>0</v>
      </c>
      <c r="K192" s="466">
        <v>0</v>
      </c>
      <c r="L192" s="466">
        <v>0</v>
      </c>
      <c r="M192" s="483">
        <v>0</v>
      </c>
    </row>
    <row r="193" spans="2:17" ht="49.5" x14ac:dyDescent="0.25">
      <c r="B193" s="582" t="s">
        <v>220</v>
      </c>
      <c r="C193" s="677"/>
      <c r="D193" s="567"/>
      <c r="E193" s="540"/>
      <c r="F193" s="541"/>
      <c r="G193" s="581" t="s">
        <v>205</v>
      </c>
      <c r="H193" s="580">
        <f t="shared" si="13"/>
        <v>35.221240000000002</v>
      </c>
      <c r="I193" s="471">
        <f>35.22124</f>
        <v>35.221240000000002</v>
      </c>
      <c r="J193" s="466">
        <v>0</v>
      </c>
      <c r="K193" s="466">
        <v>0</v>
      </c>
      <c r="L193" s="466">
        <v>0</v>
      </c>
      <c r="M193" s="483">
        <v>0</v>
      </c>
    </row>
    <row r="194" spans="2:17" ht="49.5" x14ac:dyDescent="0.25">
      <c r="B194" s="582" t="s">
        <v>221</v>
      </c>
      <c r="C194" s="677"/>
      <c r="D194" s="567"/>
      <c r="E194" s="540"/>
      <c r="F194" s="541"/>
      <c r="G194" s="581" t="s">
        <v>205</v>
      </c>
      <c r="H194" s="580">
        <f t="shared" si="13"/>
        <v>421.00594000000001</v>
      </c>
      <c r="I194" s="471">
        <f>421.00594</f>
        <v>421.00594000000001</v>
      </c>
      <c r="J194" s="466">
        <v>0</v>
      </c>
      <c r="K194" s="466">
        <v>0</v>
      </c>
      <c r="L194" s="466">
        <v>0</v>
      </c>
      <c r="M194" s="483">
        <v>0</v>
      </c>
    </row>
    <row r="195" spans="2:17" x14ac:dyDescent="0.25">
      <c r="B195" s="582" t="s">
        <v>319</v>
      </c>
      <c r="C195" s="677"/>
      <c r="D195" s="567"/>
      <c r="E195" s="540"/>
      <c r="F195" s="541"/>
      <c r="G195" s="581"/>
      <c r="H195" s="580">
        <f t="shared" si="13"/>
        <v>6549</v>
      </c>
      <c r="I195" s="471">
        <f>400-400</f>
        <v>0</v>
      </c>
      <c r="J195" s="466">
        <f>1900</f>
        <v>1900</v>
      </c>
      <c r="K195" s="466">
        <f>1300-K172</f>
        <v>849</v>
      </c>
      <c r="L195" s="466">
        <v>1900</v>
      </c>
      <c r="M195" s="483">
        <v>1900</v>
      </c>
    </row>
    <row r="196" spans="2:17" x14ac:dyDescent="0.25">
      <c r="B196" s="582" t="s">
        <v>26</v>
      </c>
      <c r="C196" s="677"/>
      <c r="D196" s="567"/>
      <c r="E196" s="540"/>
      <c r="F196" s="541"/>
      <c r="G196" s="583"/>
      <c r="H196" s="580">
        <f t="shared" si="13"/>
        <v>0</v>
      </c>
      <c r="I196" s="471">
        <f>1170.95242-1170.95242</f>
        <v>0</v>
      </c>
      <c r="J196" s="466">
        <v>0</v>
      </c>
      <c r="K196" s="466">
        <v>0</v>
      </c>
      <c r="L196" s="466">
        <v>0</v>
      </c>
      <c r="M196" s="483">
        <v>0</v>
      </c>
    </row>
    <row r="197" spans="2:17" ht="33" x14ac:dyDescent="0.25">
      <c r="B197" s="582" t="s">
        <v>27</v>
      </c>
      <c r="C197" s="678"/>
      <c r="D197" s="567"/>
      <c r="E197" s="540"/>
      <c r="F197" s="541"/>
      <c r="G197" s="583"/>
      <c r="H197" s="580">
        <f t="shared" si="13"/>
        <v>514.83924999999999</v>
      </c>
      <c r="I197" s="471">
        <v>514.83924999999999</v>
      </c>
      <c r="J197" s="466">
        <v>0</v>
      </c>
      <c r="K197" s="466">
        <v>0</v>
      </c>
      <c r="L197" s="466">
        <v>0</v>
      </c>
      <c r="M197" s="483">
        <v>0</v>
      </c>
    </row>
    <row r="198" spans="2:17" hidden="1" outlineLevel="1" x14ac:dyDescent="0.25">
      <c r="B198" s="582" t="s">
        <v>28</v>
      </c>
      <c r="C198" s="583"/>
      <c r="D198" s="567"/>
      <c r="E198" s="540"/>
      <c r="F198" s="541"/>
      <c r="G198" s="583"/>
      <c r="H198" s="471"/>
      <c r="I198" s="471">
        <v>0</v>
      </c>
      <c r="J198" s="466">
        <v>0</v>
      </c>
      <c r="K198" s="466">
        <v>0</v>
      </c>
      <c r="L198" s="466">
        <v>0</v>
      </c>
      <c r="M198" s="483">
        <v>0</v>
      </c>
    </row>
    <row r="199" spans="2:17" ht="17.25" collapsed="1" x14ac:dyDescent="0.25">
      <c r="B199" s="549" t="s">
        <v>16</v>
      </c>
      <c r="C199" s="583"/>
      <c r="D199" s="567"/>
      <c r="E199" s="540"/>
      <c r="F199" s="541"/>
      <c r="G199" s="540"/>
      <c r="H199" s="473"/>
      <c r="I199" s="668"/>
      <c r="J199" s="669"/>
      <c r="K199" s="669"/>
      <c r="L199" s="669"/>
      <c r="M199" s="670"/>
    </row>
    <row r="200" spans="2:17" x14ac:dyDescent="0.25">
      <c r="B200" s="492" t="s">
        <v>77</v>
      </c>
      <c r="C200" s="583"/>
      <c r="D200" s="567"/>
      <c r="E200" s="540"/>
      <c r="F200" s="541"/>
      <c r="G200" s="540"/>
      <c r="H200" s="471">
        <f>SUM(I200:M200)</f>
        <v>0</v>
      </c>
      <c r="I200" s="471">
        <v>0</v>
      </c>
      <c r="J200" s="471">
        <v>0</v>
      </c>
      <c r="K200" s="471">
        <v>0</v>
      </c>
      <c r="L200" s="471">
        <v>0</v>
      </c>
      <c r="M200" s="548">
        <v>0</v>
      </c>
    </row>
    <row r="201" spans="2:17" x14ac:dyDescent="0.25">
      <c r="B201" s="492" t="s">
        <v>9</v>
      </c>
      <c r="C201" s="583"/>
      <c r="D201" s="567"/>
      <c r="E201" s="540"/>
      <c r="F201" s="541"/>
      <c r="G201" s="583"/>
      <c r="H201" s="471">
        <f>SUM(I201:M201)</f>
        <v>5806.1000002599994</v>
      </c>
      <c r="I201" s="471">
        <v>5806.1000002599994</v>
      </c>
      <c r="J201" s="471">
        <v>0</v>
      </c>
      <c r="K201" s="471">
        <v>0</v>
      </c>
      <c r="L201" s="471">
        <v>0</v>
      </c>
      <c r="M201" s="548">
        <v>0</v>
      </c>
    </row>
    <row r="202" spans="2:17" x14ac:dyDescent="0.25">
      <c r="B202" s="492" t="s">
        <v>10</v>
      </c>
      <c r="C202" s="583"/>
      <c r="D202" s="583"/>
      <c r="E202" s="540"/>
      <c r="F202" s="541"/>
      <c r="G202" s="583"/>
      <c r="H202" s="471">
        <f>SUM(I202:M202)</f>
        <v>11425.6</v>
      </c>
      <c r="I202" s="471">
        <v>3525.6</v>
      </c>
      <c r="J202" s="471">
        <f>J172+J173+J195</f>
        <v>2200</v>
      </c>
      <c r="K202" s="471">
        <f>K172+K173+K195</f>
        <v>1300</v>
      </c>
      <c r="L202" s="471">
        <f>L172+L173+L195</f>
        <v>2200</v>
      </c>
      <c r="M202" s="548">
        <f>M172+M173+M195</f>
        <v>2200</v>
      </c>
      <c r="N202" s="270">
        <f>306.6+3219</f>
        <v>3525.6</v>
      </c>
    </row>
    <row r="203" spans="2:17" ht="17.25" x14ac:dyDescent="0.25">
      <c r="B203" s="664"/>
      <c r="C203" s="665"/>
      <c r="D203" s="665"/>
      <c r="E203" s="665"/>
      <c r="F203" s="665"/>
      <c r="G203" s="665"/>
      <c r="H203" s="665"/>
      <c r="I203" s="665"/>
      <c r="J203" s="665"/>
      <c r="K203" s="665"/>
      <c r="L203" s="665"/>
      <c r="M203" s="671"/>
      <c r="N203" s="298"/>
    </row>
    <row r="204" spans="2:17" x14ac:dyDescent="0.25">
      <c r="B204" s="534" t="s">
        <v>133</v>
      </c>
      <c r="C204" s="535"/>
      <c r="D204" s="575"/>
      <c r="E204" s="576"/>
      <c r="F204" s="691" t="s">
        <v>141</v>
      </c>
      <c r="G204" s="692"/>
      <c r="H204" s="474"/>
      <c r="I204" s="476"/>
      <c r="J204" s="459"/>
      <c r="K204" s="472"/>
      <c r="L204" s="476"/>
      <c r="M204" s="536"/>
    </row>
    <row r="205" spans="2:17" ht="115.5" x14ac:dyDescent="0.25">
      <c r="B205" s="527" t="s">
        <v>12</v>
      </c>
      <c r="C205" s="538" t="s">
        <v>317</v>
      </c>
      <c r="D205" s="538">
        <v>2022</v>
      </c>
      <c r="E205" s="538">
        <v>2023</v>
      </c>
      <c r="F205" s="693"/>
      <c r="G205" s="694"/>
      <c r="H205" s="584">
        <f>H206</f>
        <v>369987.37375999999</v>
      </c>
      <c r="I205" s="457">
        <f>SUM(I206)</f>
        <v>79600</v>
      </c>
      <c r="J205" s="457">
        <f>SUM(J206)</f>
        <v>149100</v>
      </c>
      <c r="K205" s="457">
        <f>SUM(K206)</f>
        <v>27015.85859</v>
      </c>
      <c r="L205" s="457">
        <f>SUM(L206)</f>
        <v>23780.909100000001</v>
      </c>
      <c r="M205" s="529">
        <f>SUM(M206)</f>
        <v>90490.606070000009</v>
      </c>
      <c r="N205" s="299">
        <f>SUM(I205:M205)</f>
        <v>369987.37375999999</v>
      </c>
      <c r="O205" s="299"/>
      <c r="P205" s="250"/>
      <c r="Q205" s="299"/>
    </row>
    <row r="206" spans="2:17" ht="51" customHeight="1" x14ac:dyDescent="0.25">
      <c r="B206" s="492" t="s">
        <v>34</v>
      </c>
      <c r="C206" s="540"/>
      <c r="D206" s="583"/>
      <c r="E206" s="567"/>
      <c r="F206" s="585"/>
      <c r="G206" s="540"/>
      <c r="H206" s="473">
        <f>SUM(I206:M206)</f>
        <v>369987.37375999999</v>
      </c>
      <c r="I206" s="471">
        <f>SUM(I209:I211)</f>
        <v>79600</v>
      </c>
      <c r="J206" s="471">
        <f>SUM(J209:J211)</f>
        <v>149100</v>
      </c>
      <c r="K206" s="471">
        <f>SUM(K209:K211)</f>
        <v>27015.85859</v>
      </c>
      <c r="L206" s="471">
        <f>SUM(L209:L211)</f>
        <v>23780.909100000001</v>
      </c>
      <c r="M206" s="548">
        <f>SUM(M209:M211)</f>
        <v>90490.606070000009</v>
      </c>
      <c r="O206" s="299"/>
      <c r="P206" s="250"/>
    </row>
    <row r="207" spans="2:17" hidden="1" outlineLevel="1" x14ac:dyDescent="0.25">
      <c r="B207" s="582" t="s">
        <v>28</v>
      </c>
      <c r="C207" s="540"/>
      <c r="D207" s="583"/>
      <c r="E207" s="567"/>
      <c r="F207" s="585"/>
      <c r="G207" s="540"/>
      <c r="H207" s="473"/>
      <c r="I207" s="471"/>
      <c r="J207" s="464"/>
      <c r="K207" s="473"/>
      <c r="L207" s="471"/>
      <c r="M207" s="548"/>
      <c r="O207" s="299"/>
      <c r="P207" s="250"/>
    </row>
    <row r="208" spans="2:17" ht="17.25" collapsed="1" x14ac:dyDescent="0.25">
      <c r="B208" s="549" t="s">
        <v>16</v>
      </c>
      <c r="C208" s="540"/>
      <c r="D208" s="583"/>
      <c r="E208" s="567"/>
      <c r="F208" s="585"/>
      <c r="G208" s="540"/>
      <c r="H208" s="473"/>
      <c r="I208" s="668"/>
      <c r="J208" s="669"/>
      <c r="K208" s="669"/>
      <c r="L208" s="669"/>
      <c r="M208" s="670"/>
      <c r="O208" s="299"/>
      <c r="P208" s="250"/>
    </row>
    <row r="209" spans="2:16" x14ac:dyDescent="0.25">
      <c r="B209" s="492" t="s">
        <v>77</v>
      </c>
      <c r="C209" s="540"/>
      <c r="D209" s="583"/>
      <c r="E209" s="567"/>
      <c r="F209" s="585"/>
      <c r="G209" s="540"/>
      <c r="H209" s="473">
        <f>SUM(I209:M209)</f>
        <v>245652.20000000004</v>
      </c>
      <c r="I209" s="471">
        <v>72831.3</v>
      </c>
      <c r="J209" s="471">
        <v>42407.9</v>
      </c>
      <c r="K209" s="471">
        <v>26478.2</v>
      </c>
      <c r="L209" s="471">
        <v>23307.7</v>
      </c>
      <c r="M209" s="548">
        <v>80627.100000000006</v>
      </c>
      <c r="O209" s="299">
        <v>86800</v>
      </c>
      <c r="P209" s="250"/>
    </row>
    <row r="210" spans="2:16" x14ac:dyDescent="0.25">
      <c r="B210" s="492" t="s">
        <v>9</v>
      </c>
      <c r="C210" s="540"/>
      <c r="D210" s="583"/>
      <c r="E210" s="567"/>
      <c r="F210" s="585"/>
      <c r="G210" s="540"/>
      <c r="H210" s="473">
        <f>SUM(I210:M210)</f>
        <v>122922.3</v>
      </c>
      <c r="I210" s="471">
        <v>6768.7</v>
      </c>
      <c r="J210" s="471">
        <f>37192.1+69500</f>
        <v>106692.1</v>
      </c>
      <c r="K210" s="471">
        <f>267500/1000</f>
        <v>267.5</v>
      </c>
      <c r="L210" s="471">
        <v>235.4</v>
      </c>
      <c r="M210" s="548">
        <v>8958.6</v>
      </c>
      <c r="O210" s="299">
        <v>62300</v>
      </c>
      <c r="P210" s="250"/>
    </row>
    <row r="211" spans="2:16" x14ac:dyDescent="0.25">
      <c r="B211" s="492" t="s">
        <v>10</v>
      </c>
      <c r="C211" s="583"/>
      <c r="D211" s="583"/>
      <c r="E211" s="540"/>
      <c r="F211" s="541"/>
      <c r="G211" s="583"/>
      <c r="H211" s="473">
        <f>SUM(I211:M211)</f>
        <v>1412.8737599999999</v>
      </c>
      <c r="I211" s="471">
        <v>0</v>
      </c>
      <c r="J211" s="471">
        <v>0</v>
      </c>
      <c r="K211" s="471">
        <v>270.15859</v>
      </c>
      <c r="L211" s="471">
        <v>237.8091</v>
      </c>
      <c r="M211" s="548">
        <v>904.90607</v>
      </c>
      <c r="O211" s="299">
        <f>SUM(O209:O210)</f>
        <v>149100</v>
      </c>
      <c r="P211" s="250"/>
    </row>
    <row r="212" spans="2:16" ht="17.25" x14ac:dyDescent="0.25">
      <c r="B212" s="664"/>
      <c r="C212" s="665"/>
      <c r="D212" s="665"/>
      <c r="E212" s="665"/>
      <c r="F212" s="665"/>
      <c r="G212" s="665"/>
      <c r="H212" s="665"/>
      <c r="I212" s="665"/>
      <c r="J212" s="665"/>
      <c r="K212" s="665"/>
      <c r="L212" s="665"/>
      <c r="M212" s="671"/>
      <c r="O212" s="299"/>
      <c r="P212" s="250"/>
    </row>
    <row r="213" spans="2:16" x14ac:dyDescent="0.25">
      <c r="B213" s="534" t="s">
        <v>183</v>
      </c>
      <c r="C213" s="535"/>
      <c r="D213" s="575"/>
      <c r="E213" s="576"/>
      <c r="F213" s="695"/>
      <c r="G213" s="696"/>
      <c r="H213" s="459"/>
      <c r="I213" s="472"/>
      <c r="J213" s="476"/>
      <c r="K213" s="474"/>
      <c r="L213" s="476"/>
      <c r="M213" s="586"/>
    </row>
    <row r="214" spans="2:16" ht="59.25" customHeight="1" x14ac:dyDescent="0.25">
      <c r="B214" s="537" t="s">
        <v>11</v>
      </c>
      <c r="C214" s="649" t="s">
        <v>662</v>
      </c>
      <c r="D214" s="538">
        <v>2022</v>
      </c>
      <c r="E214" s="538">
        <v>2026</v>
      </c>
      <c r="F214" s="697"/>
      <c r="G214" s="698"/>
      <c r="H214" s="475">
        <f>SUM(I214:M214)</f>
        <v>32992.625690000001</v>
      </c>
      <c r="I214" s="475">
        <f>SUM(I215:I222)</f>
        <v>7042.6256899999998</v>
      </c>
      <c r="J214" s="475">
        <f>SUM(J215:J222)</f>
        <v>0</v>
      </c>
      <c r="K214" s="475">
        <f>SUM(K215:K224)</f>
        <v>600</v>
      </c>
      <c r="L214" s="475">
        <f>SUM(L215:L222)</f>
        <v>25350</v>
      </c>
      <c r="M214" s="529">
        <f>SUM(M215:M222)</f>
        <v>0</v>
      </c>
      <c r="N214" s="249">
        <f>SUM(I214:M214)</f>
        <v>32992.625690000001</v>
      </c>
    </row>
    <row r="215" spans="2:16" s="294" customFormat="1" ht="17.25" x14ac:dyDescent="0.25">
      <c r="B215" s="492" t="s">
        <v>311</v>
      </c>
      <c r="C215" s="650"/>
      <c r="D215" s="618"/>
      <c r="E215" s="619"/>
      <c r="F215" s="620"/>
      <c r="G215" s="621"/>
      <c r="H215" s="473">
        <f t="shared" ref="H215:H229" si="14">SUM(I215:M215)</f>
        <v>1758.8771999999999</v>
      </c>
      <c r="I215" s="465">
        <v>1758.8771999999999</v>
      </c>
      <c r="J215" s="465">
        <v>0</v>
      </c>
      <c r="K215" s="465">
        <v>0</v>
      </c>
      <c r="L215" s="465">
        <v>0</v>
      </c>
      <c r="M215" s="561">
        <v>0</v>
      </c>
      <c r="N215" s="295" t="s">
        <v>382</v>
      </c>
    </row>
    <row r="216" spans="2:16" s="294" customFormat="1" ht="33" x14ac:dyDescent="0.25">
      <c r="B216" s="582" t="s">
        <v>250</v>
      </c>
      <c r="C216" s="650"/>
      <c r="D216" s="583"/>
      <c r="E216" s="567"/>
      <c r="F216" s="541"/>
      <c r="G216" s="479"/>
      <c r="H216" s="473">
        <f t="shared" si="14"/>
        <v>576.50667999999996</v>
      </c>
      <c r="I216" s="465">
        <v>576.50667999999996</v>
      </c>
      <c r="J216" s="465">
        <v>0</v>
      </c>
      <c r="K216" s="465">
        <v>0</v>
      </c>
      <c r="L216" s="465">
        <v>0</v>
      </c>
      <c r="M216" s="561">
        <v>0</v>
      </c>
      <c r="N216" s="300" t="s">
        <v>383</v>
      </c>
      <c r="O216" s="301"/>
    </row>
    <row r="217" spans="2:16" s="294" customFormat="1" ht="33" x14ac:dyDescent="0.25">
      <c r="B217" s="582" t="s">
        <v>251</v>
      </c>
      <c r="C217" s="650"/>
      <c r="D217" s="583"/>
      <c r="E217" s="567"/>
      <c r="F217" s="541"/>
      <c r="G217" s="479"/>
      <c r="H217" s="473">
        <f t="shared" si="14"/>
        <v>863.57280000000003</v>
      </c>
      <c r="I217" s="465">
        <v>863.57280000000003</v>
      </c>
      <c r="J217" s="465">
        <v>0</v>
      </c>
      <c r="K217" s="465">
        <v>0</v>
      </c>
      <c r="L217" s="465">
        <v>0</v>
      </c>
      <c r="M217" s="561">
        <v>0</v>
      </c>
      <c r="N217" s="295" t="s">
        <v>381</v>
      </c>
    </row>
    <row r="218" spans="2:16" s="279" customFormat="1" x14ac:dyDescent="0.25">
      <c r="B218" s="582" t="s">
        <v>310</v>
      </c>
      <c r="C218" s="650"/>
      <c r="D218" s="583"/>
      <c r="E218" s="567"/>
      <c r="F218" s="541"/>
      <c r="G218" s="479"/>
      <c r="H218" s="473">
        <f t="shared" si="14"/>
        <v>1361.5830000000001</v>
      </c>
      <c r="I218" s="465">
        <v>1361.5830000000001</v>
      </c>
      <c r="J218" s="465">
        <v>0</v>
      </c>
      <c r="K218" s="465">
        <v>0</v>
      </c>
      <c r="L218" s="465">
        <v>0</v>
      </c>
      <c r="M218" s="561">
        <v>0</v>
      </c>
      <c r="N218" s="295"/>
    </row>
    <row r="219" spans="2:16" s="279" customFormat="1" ht="49.5" x14ac:dyDescent="0.25">
      <c r="B219" s="582" t="s">
        <v>293</v>
      </c>
      <c r="C219" s="650"/>
      <c r="D219" s="583"/>
      <c r="E219" s="567"/>
      <c r="F219" s="541"/>
      <c r="G219" s="479"/>
      <c r="H219" s="473">
        <f>SUM(J219:M219)</f>
        <v>600</v>
      </c>
      <c r="I219" s="465">
        <v>0</v>
      </c>
      <c r="J219" s="465">
        <v>0</v>
      </c>
      <c r="K219" s="465">
        <v>600</v>
      </c>
      <c r="L219" s="471">
        <v>0</v>
      </c>
      <c r="M219" s="548">
        <v>0</v>
      </c>
      <c r="N219" s="280"/>
    </row>
    <row r="220" spans="2:16" s="294" customFormat="1" ht="49.5" x14ac:dyDescent="0.25">
      <c r="B220" s="492" t="s">
        <v>385</v>
      </c>
      <c r="C220" s="650"/>
      <c r="D220" s="583"/>
      <c r="E220" s="567"/>
      <c r="F220" s="541"/>
      <c r="G220" s="479"/>
      <c r="H220" s="473">
        <f t="shared" si="14"/>
        <v>2443.9362099999998</v>
      </c>
      <c r="I220" s="465">
        <v>2443.9362099999998</v>
      </c>
      <c r="J220" s="465">
        <v>0</v>
      </c>
      <c r="K220" s="471">
        <v>0</v>
      </c>
      <c r="L220" s="471">
        <v>0</v>
      </c>
      <c r="M220" s="548">
        <v>0</v>
      </c>
      <c r="N220" s="295"/>
    </row>
    <row r="221" spans="2:16" s="294" customFormat="1" x14ac:dyDescent="0.25">
      <c r="B221" s="582" t="s">
        <v>387</v>
      </c>
      <c r="C221" s="650"/>
      <c r="D221" s="583"/>
      <c r="E221" s="567"/>
      <c r="F221" s="541"/>
      <c r="G221" s="479"/>
      <c r="H221" s="473">
        <f t="shared" si="14"/>
        <v>38.149799999999999</v>
      </c>
      <c r="I221" s="465">
        <v>38.149799999999999</v>
      </c>
      <c r="J221" s="465">
        <v>0</v>
      </c>
      <c r="K221" s="471">
        <v>0</v>
      </c>
      <c r="L221" s="471">
        <v>0</v>
      </c>
      <c r="M221" s="548">
        <v>0</v>
      </c>
      <c r="N221" s="295"/>
    </row>
    <row r="222" spans="2:16" s="279" customFormat="1" ht="33" x14ac:dyDescent="0.25">
      <c r="B222" s="582" t="s">
        <v>248</v>
      </c>
      <c r="C222" s="650"/>
      <c r="D222" s="583"/>
      <c r="E222" s="567"/>
      <c r="F222" s="541"/>
      <c r="G222" s="479">
        <v>2.2799999999999998</v>
      </c>
      <c r="H222" s="473">
        <f t="shared" si="14"/>
        <v>25350</v>
      </c>
      <c r="I222" s="465">
        <v>0</v>
      </c>
      <c r="J222" s="465">
        <v>0</v>
      </c>
      <c r="K222" s="471">
        <v>0</v>
      </c>
      <c r="L222" s="471">
        <f>24300+1050</f>
        <v>25350</v>
      </c>
      <c r="M222" s="548">
        <v>0</v>
      </c>
      <c r="N222" s="302"/>
    </row>
    <row r="223" spans="2:16" ht="17.25" hidden="1" customHeight="1" outlineLevel="1" x14ac:dyDescent="0.25">
      <c r="B223" s="549" t="s">
        <v>406</v>
      </c>
      <c r="C223" s="650"/>
      <c r="D223" s="583"/>
      <c r="E223" s="567"/>
      <c r="F223" s="541"/>
      <c r="G223" s="479"/>
      <c r="H223" s="473">
        <f t="shared" si="14"/>
        <v>0</v>
      </c>
      <c r="I223" s="465"/>
      <c r="J223" s="465"/>
      <c r="K223" s="471"/>
      <c r="L223" s="471"/>
      <c r="M223" s="548"/>
    </row>
    <row r="224" spans="2:16" ht="16.5" hidden="1" customHeight="1" outlineLevel="1" x14ac:dyDescent="0.25">
      <c r="B224" s="582" t="s">
        <v>407</v>
      </c>
      <c r="C224" s="650"/>
      <c r="D224" s="583"/>
      <c r="E224" s="567"/>
      <c r="F224" s="541"/>
      <c r="G224" s="479"/>
      <c r="H224" s="473">
        <f t="shared" si="14"/>
        <v>0</v>
      </c>
      <c r="I224" s="465"/>
      <c r="J224" s="465">
        <f>300-300</f>
        <v>0</v>
      </c>
      <c r="K224" s="471"/>
      <c r="L224" s="471"/>
      <c r="M224" s="548"/>
    </row>
    <row r="225" spans="2:15" ht="33" hidden="1" outlineLevel="1" x14ac:dyDescent="0.25">
      <c r="B225" s="582" t="s">
        <v>412</v>
      </c>
      <c r="C225" s="540"/>
      <c r="D225" s="583"/>
      <c r="E225" s="567"/>
      <c r="F225" s="541"/>
      <c r="G225" s="479"/>
      <c r="H225" s="473"/>
      <c r="I225" s="465"/>
      <c r="J225" s="465"/>
      <c r="K225" s="471"/>
      <c r="L225" s="471"/>
      <c r="M225" s="548"/>
    </row>
    <row r="226" spans="2:15" ht="33" hidden="1" outlineLevel="1" x14ac:dyDescent="0.25">
      <c r="B226" s="582" t="s">
        <v>408</v>
      </c>
      <c r="C226" s="540"/>
      <c r="D226" s="583"/>
      <c r="E226" s="567"/>
      <c r="F226" s="541"/>
      <c r="G226" s="479"/>
      <c r="H226" s="473"/>
      <c r="I226" s="465"/>
      <c r="J226" s="465"/>
      <c r="K226" s="471"/>
      <c r="L226" s="471"/>
      <c r="M226" s="548"/>
    </row>
    <row r="227" spans="2:15" ht="17.25" collapsed="1" x14ac:dyDescent="0.25">
      <c r="B227" s="549" t="s">
        <v>16</v>
      </c>
      <c r="C227" s="583"/>
      <c r="D227" s="583"/>
      <c r="E227" s="540"/>
      <c r="F227" s="541"/>
      <c r="G227" s="479"/>
      <c r="H227" s="473"/>
      <c r="I227" s="465"/>
      <c r="J227" s="465"/>
      <c r="K227" s="471"/>
      <c r="L227" s="471"/>
      <c r="M227" s="548"/>
      <c r="O227" s="279"/>
    </row>
    <row r="228" spans="2:15" x14ac:dyDescent="0.25">
      <c r="B228" s="492" t="s">
        <v>77</v>
      </c>
      <c r="C228" s="583"/>
      <c r="D228" s="583"/>
      <c r="E228" s="540"/>
      <c r="F228" s="541"/>
      <c r="G228" s="583"/>
      <c r="H228" s="473">
        <f t="shared" si="14"/>
        <v>0</v>
      </c>
      <c r="I228" s="465">
        <v>0</v>
      </c>
      <c r="J228" s="465">
        <v>0</v>
      </c>
      <c r="K228" s="465">
        <v>0</v>
      </c>
      <c r="L228" s="465">
        <v>0</v>
      </c>
      <c r="M228" s="561">
        <v>0</v>
      </c>
      <c r="O228" s="279"/>
    </row>
    <row r="229" spans="2:15" x14ac:dyDescent="0.25">
      <c r="B229" s="492" t="s">
        <v>9</v>
      </c>
      <c r="C229" s="583"/>
      <c r="D229" s="583"/>
      <c r="E229" s="540"/>
      <c r="F229" s="541"/>
      <c r="G229" s="583"/>
      <c r="H229" s="473">
        <f t="shared" si="14"/>
        <v>0</v>
      </c>
      <c r="I229" s="465">
        <v>0</v>
      </c>
      <c r="J229" s="465">
        <v>0</v>
      </c>
      <c r="K229" s="465">
        <v>0</v>
      </c>
      <c r="L229" s="465">
        <v>0</v>
      </c>
      <c r="M229" s="561">
        <v>0</v>
      </c>
    </row>
    <row r="230" spans="2:15" x14ac:dyDescent="0.25">
      <c r="B230" s="492" t="s">
        <v>10</v>
      </c>
      <c r="C230" s="479"/>
      <c r="D230" s="479"/>
      <c r="E230" s="587"/>
      <c r="F230" s="572"/>
      <c r="G230" s="479"/>
      <c r="H230" s="473">
        <f>SUM(I230:M230)</f>
        <v>33781.9</v>
      </c>
      <c r="I230" s="465">
        <f>189.3+1440.1+5602.5+600</f>
        <v>7831.9</v>
      </c>
      <c r="J230" s="465">
        <v>0</v>
      </c>
      <c r="K230" s="465">
        <f>'перечень объектов'!C263</f>
        <v>600</v>
      </c>
      <c r="L230" s="465">
        <f>24300+1050</f>
        <v>25350</v>
      </c>
      <c r="M230" s="561">
        <v>0</v>
      </c>
    </row>
    <row r="231" spans="2:15" x14ac:dyDescent="0.25">
      <c r="B231" s="588"/>
      <c r="C231" s="575"/>
      <c r="D231" s="575"/>
      <c r="E231" s="535"/>
      <c r="F231" s="589"/>
      <c r="G231" s="575"/>
      <c r="H231" s="476"/>
      <c r="I231" s="476"/>
      <c r="J231" s="476"/>
      <c r="K231" s="476"/>
      <c r="L231" s="476"/>
      <c r="M231" s="536"/>
    </row>
    <row r="232" spans="2:15" x14ac:dyDescent="0.25">
      <c r="B232" s="534" t="s">
        <v>187</v>
      </c>
      <c r="C232" s="703" t="s">
        <v>318</v>
      </c>
      <c r="D232" s="535"/>
      <c r="E232" s="535"/>
      <c r="F232" s="691"/>
      <c r="G232" s="692"/>
      <c r="H232" s="474"/>
      <c r="I232" s="476"/>
      <c r="J232" s="474"/>
      <c r="K232" s="474"/>
      <c r="L232" s="474"/>
      <c r="M232" s="586"/>
    </row>
    <row r="233" spans="2:15" ht="33" customHeight="1" x14ac:dyDescent="0.25">
      <c r="B233" s="537" t="s">
        <v>138</v>
      </c>
      <c r="C233" s="677"/>
      <c r="D233" s="538">
        <v>2022</v>
      </c>
      <c r="E233" s="538">
        <v>2025</v>
      </c>
      <c r="F233" s="693"/>
      <c r="G233" s="694"/>
      <c r="H233" s="460">
        <f t="shared" ref="H233:M233" si="15">SUM(H234:H234)</f>
        <v>2002185.3086558585</v>
      </c>
      <c r="I233" s="457">
        <f t="shared" si="15"/>
        <v>483049.76000999997</v>
      </c>
      <c r="J233" s="457">
        <f t="shared" si="15"/>
        <v>1518965.3725858587</v>
      </c>
      <c r="K233" s="457">
        <f t="shared" si="15"/>
        <v>170.17606000000001</v>
      </c>
      <c r="L233" s="457">
        <f t="shared" si="15"/>
        <v>0</v>
      </c>
      <c r="M233" s="529">
        <f t="shared" si="15"/>
        <v>0</v>
      </c>
    </row>
    <row r="234" spans="2:15" x14ac:dyDescent="0.25">
      <c r="B234" s="492" t="s">
        <v>76</v>
      </c>
      <c r="C234" s="677"/>
      <c r="D234" s="540"/>
      <c r="E234" s="540"/>
      <c r="F234" s="541"/>
      <c r="G234" s="542"/>
      <c r="H234" s="466">
        <f>SUM(I234:M234)</f>
        <v>2002185.3086558585</v>
      </c>
      <c r="I234" s="465">
        <f>I236+I238+I237</f>
        <v>483049.76000999997</v>
      </c>
      <c r="J234" s="465">
        <f>J236+J238+J237</f>
        <v>1518965.3725858587</v>
      </c>
      <c r="K234" s="465">
        <v>170.17606000000001</v>
      </c>
      <c r="L234" s="465">
        <v>0</v>
      </c>
      <c r="M234" s="561">
        <v>0</v>
      </c>
    </row>
    <row r="235" spans="2:15" ht="17.25" x14ac:dyDescent="0.25">
      <c r="B235" s="549" t="s">
        <v>16</v>
      </c>
      <c r="C235" s="479"/>
      <c r="D235" s="479"/>
      <c r="E235" s="587"/>
      <c r="F235" s="572"/>
      <c r="G235" s="479"/>
      <c r="H235" s="465"/>
      <c r="I235" s="465"/>
      <c r="J235" s="465"/>
      <c r="K235" s="465"/>
      <c r="L235" s="465"/>
      <c r="M235" s="561"/>
      <c r="O235" s="251">
        <v>80143.195330000002</v>
      </c>
    </row>
    <row r="236" spans="2:15" x14ac:dyDescent="0.25">
      <c r="B236" s="492" t="s">
        <v>77</v>
      </c>
      <c r="C236" s="479"/>
      <c r="D236" s="479"/>
      <c r="E236" s="587"/>
      <c r="F236" s="572"/>
      <c r="G236" s="479"/>
      <c r="H236" s="465">
        <f>SUM(I236:M236)</f>
        <v>1876816.5600100001</v>
      </c>
      <c r="I236" s="465">
        <f>332189.3+45725.46001</f>
        <v>377914.76000999997</v>
      </c>
      <c r="J236" s="465">
        <f>395980+387389+665532.8+50000</f>
        <v>1498901.8</v>
      </c>
      <c r="K236" s="465">
        <v>0</v>
      </c>
      <c r="L236" s="465">
        <v>0</v>
      </c>
      <c r="M236" s="483">
        <v>0</v>
      </c>
      <c r="N236" s="303"/>
    </row>
    <row r="237" spans="2:15" x14ac:dyDescent="0.25">
      <c r="B237" s="492" t="s">
        <v>78</v>
      </c>
      <c r="C237" s="479"/>
      <c r="D237" s="479"/>
      <c r="E237" s="587"/>
      <c r="F237" s="572"/>
      <c r="G237" s="479"/>
      <c r="H237" s="465">
        <f>SUM(I237:M237)</f>
        <v>104873.91885999998</v>
      </c>
      <c r="I237" s="465">
        <f>100000</f>
        <v>100000</v>
      </c>
      <c r="J237" s="465">
        <f>640263.5+203397+112583-143.19533-951226.38581</f>
        <v>4873.9188599999761</v>
      </c>
      <c r="K237" s="465">
        <f>395980-203397-112583+143.19533-80143.19533</f>
        <v>0</v>
      </c>
      <c r="L237" s="465">
        <v>0</v>
      </c>
      <c r="M237" s="483">
        <v>0</v>
      </c>
      <c r="N237" s="303"/>
    </row>
    <row r="238" spans="2:15" x14ac:dyDescent="0.25">
      <c r="B238" s="492" t="s">
        <v>10</v>
      </c>
      <c r="C238" s="479"/>
      <c r="D238" s="479"/>
      <c r="E238" s="587"/>
      <c r="F238" s="572"/>
      <c r="G238" s="479"/>
      <c r="H238" s="465">
        <f>SUM(I238:M238)</f>
        <v>20494.829785858568</v>
      </c>
      <c r="I238" s="465">
        <v>5135</v>
      </c>
      <c r="J238" s="465">
        <f>(J236/0.99-J236)+(J237/0.99-J237)</f>
        <v>15189.653725858565</v>
      </c>
      <c r="K238" s="465">
        <f>K234</f>
        <v>170.17606000000001</v>
      </c>
      <c r="L238" s="465">
        <v>0</v>
      </c>
      <c r="M238" s="483">
        <v>0</v>
      </c>
      <c r="N238" s="304">
        <f>445980+1052921.8</f>
        <v>1498901.8</v>
      </c>
      <c r="O238" s="251" t="s">
        <v>631</v>
      </c>
    </row>
    <row r="239" spans="2:15" ht="18" customHeight="1" x14ac:dyDescent="0.25">
      <c r="B239" s="664"/>
      <c r="C239" s="665"/>
      <c r="D239" s="665"/>
      <c r="E239" s="665"/>
      <c r="F239" s="701"/>
      <c r="G239" s="701"/>
      <c r="H239" s="665"/>
      <c r="I239" s="665"/>
      <c r="J239" s="665"/>
      <c r="K239" s="665"/>
      <c r="L239" s="665"/>
      <c r="M239" s="671"/>
      <c r="N239" s="304">
        <v>4873.9188599999998</v>
      </c>
      <c r="O239" s="251" t="s">
        <v>630</v>
      </c>
    </row>
    <row r="240" spans="2:15" ht="16.5" customHeight="1" x14ac:dyDescent="0.25">
      <c r="B240" s="590" t="s">
        <v>291</v>
      </c>
      <c r="C240" s="707" t="s">
        <v>665</v>
      </c>
      <c r="D240" s="591"/>
      <c r="E240" s="551"/>
      <c r="F240" s="699" t="s">
        <v>784</v>
      </c>
      <c r="G240" s="696"/>
      <c r="H240" s="467"/>
      <c r="I240" s="553"/>
      <c r="J240" s="553"/>
      <c r="K240" s="467"/>
      <c r="L240" s="467"/>
      <c r="M240" s="554"/>
      <c r="N240" s="304">
        <f>SUM(N238:N239)</f>
        <v>1503775.7188600001</v>
      </c>
      <c r="O240" s="250">
        <v>275281.8</v>
      </c>
    </row>
    <row r="241" spans="2:15" ht="54" customHeight="1" x14ac:dyDescent="0.25">
      <c r="B241" s="704" t="s">
        <v>292</v>
      </c>
      <c r="C241" s="708"/>
      <c r="D241" s="676">
        <v>2022</v>
      </c>
      <c r="E241" s="676">
        <v>2026</v>
      </c>
      <c r="F241" s="700"/>
      <c r="G241" s="662"/>
      <c r="H241" s="652">
        <f>SUM(H244:H399)</f>
        <v>3094683.8801017655</v>
      </c>
      <c r="I241" s="652">
        <f>SUM(I244:I399)</f>
        <v>133136.90280021049</v>
      </c>
      <c r="J241" s="652">
        <f>SUM(J244:J399)</f>
        <v>315873.19284999982</v>
      </c>
      <c r="K241" s="652">
        <f>SUM(K244:K399)-0.00001</f>
        <v>384128.05735573056</v>
      </c>
      <c r="L241" s="652">
        <f>SUM(L244:L399)</f>
        <v>777898.72707582475</v>
      </c>
      <c r="M241" s="712">
        <f>M254+M398</f>
        <v>3947</v>
      </c>
      <c r="N241" s="249">
        <f>N240*0.99</f>
        <v>1488737.9616714001</v>
      </c>
      <c r="O241" s="250">
        <f>N238-J236</f>
        <v>0</v>
      </c>
    </row>
    <row r="242" spans="2:15" ht="18.75" customHeight="1" x14ac:dyDescent="0.25">
      <c r="B242" s="705"/>
      <c r="C242" s="708"/>
      <c r="D242" s="710"/>
      <c r="E242" s="710"/>
      <c r="F242" s="622">
        <f>SUM(F244:F399)</f>
        <v>544620.80000000005</v>
      </c>
      <c r="G242" s="623" t="s">
        <v>409</v>
      </c>
      <c r="H242" s="653"/>
      <c r="I242" s="653"/>
      <c r="J242" s="653"/>
      <c r="K242" s="653"/>
      <c r="L242" s="653"/>
      <c r="M242" s="713"/>
      <c r="N242" s="305">
        <f>N240-N241</f>
        <v>15037.757188600022</v>
      </c>
    </row>
    <row r="243" spans="2:15" ht="18.75" customHeight="1" x14ac:dyDescent="0.25">
      <c r="B243" s="706"/>
      <c r="C243" s="709"/>
      <c r="D243" s="711"/>
      <c r="E243" s="711"/>
      <c r="F243" s="624">
        <f>SUM(G244:G399)</f>
        <v>102.96050000000007</v>
      </c>
      <c r="G243" s="625" t="s">
        <v>410</v>
      </c>
      <c r="H243" s="654"/>
      <c r="I243" s="654"/>
      <c r="J243" s="654"/>
      <c r="K243" s="654"/>
      <c r="L243" s="654"/>
      <c r="M243" s="714"/>
    </row>
    <row r="244" spans="2:15" ht="82.5" hidden="1" x14ac:dyDescent="0.25">
      <c r="B244" s="492" t="s">
        <v>302</v>
      </c>
      <c r="C244" s="479"/>
      <c r="D244" s="592"/>
      <c r="E244" s="593"/>
      <c r="F244" s="490">
        <f>1480*8-11840</f>
        <v>0</v>
      </c>
      <c r="G244" s="557">
        <f>1.48-1.48</f>
        <v>0</v>
      </c>
      <c r="H244" s="473">
        <f t="shared" ref="H244:H252" si="16">SUM(I244:M244)</f>
        <v>0</v>
      </c>
      <c r="I244" s="465">
        <f>30430.2076-30430.2076</f>
        <v>0</v>
      </c>
      <c r="J244" s="465">
        <f>169732.91-169732.91</f>
        <v>0</v>
      </c>
      <c r="K244" s="465">
        <v>0</v>
      </c>
      <c r="L244" s="465">
        <v>0</v>
      </c>
      <c r="M244" s="561">
        <v>0</v>
      </c>
    </row>
    <row r="245" spans="2:15" ht="33" x14ac:dyDescent="0.25">
      <c r="B245" s="492" t="s">
        <v>294</v>
      </c>
      <c r="C245" s="479"/>
      <c r="D245" s="479"/>
      <c r="E245" s="594"/>
      <c r="F245" s="595">
        <f>928*8</f>
        <v>7424</v>
      </c>
      <c r="G245" s="479">
        <v>0.94</v>
      </c>
      <c r="H245" s="473">
        <f t="shared" si="16"/>
        <v>67306.476559999996</v>
      </c>
      <c r="I245" s="465">
        <v>53978.952089999999</v>
      </c>
      <c r="J245" s="465">
        <v>13327.52447</v>
      </c>
      <c r="K245" s="465">
        <v>0</v>
      </c>
      <c r="L245" s="465">
        <v>0</v>
      </c>
      <c r="M245" s="561">
        <v>0</v>
      </c>
      <c r="N245" s="249"/>
    </row>
    <row r="246" spans="2:15" ht="33" x14ac:dyDescent="0.25">
      <c r="B246" s="492" t="s">
        <v>432</v>
      </c>
      <c r="C246" s="479"/>
      <c r="D246" s="479"/>
      <c r="E246" s="594"/>
      <c r="F246" s="481">
        <f>340*7</f>
        <v>2380</v>
      </c>
      <c r="G246" s="542">
        <v>0.32200000000000001</v>
      </c>
      <c r="H246" s="473">
        <f t="shared" si="16"/>
        <v>12621.01945</v>
      </c>
      <c r="I246" s="465">
        <v>0</v>
      </c>
      <c r="J246" s="468">
        <v>12621.01945</v>
      </c>
      <c r="K246" s="465">
        <v>0</v>
      </c>
      <c r="L246" s="465">
        <v>0</v>
      </c>
      <c r="M246" s="561">
        <v>0</v>
      </c>
      <c r="N246" s="249"/>
    </row>
    <row r="247" spans="2:15" ht="33" x14ac:dyDescent="0.25">
      <c r="B247" s="492" t="s">
        <v>296</v>
      </c>
      <c r="C247" s="479"/>
      <c r="D247" s="479"/>
      <c r="E247" s="480"/>
      <c r="F247" s="490">
        <f>1160*8</f>
        <v>9280</v>
      </c>
      <c r="G247" s="557">
        <v>1.2</v>
      </c>
      <c r="H247" s="465">
        <f t="shared" si="16"/>
        <v>19064.628000000001</v>
      </c>
      <c r="I247" s="468">
        <f>9931.6025-9931.6025</f>
        <v>0</v>
      </c>
      <c r="J247" s="465">
        <v>19064.628000000001</v>
      </c>
      <c r="K247" s="465">
        <v>0</v>
      </c>
      <c r="L247" s="468">
        <v>0</v>
      </c>
      <c r="M247" s="561">
        <v>0</v>
      </c>
      <c r="N247" s="249"/>
    </row>
    <row r="248" spans="2:15" ht="33" x14ac:dyDescent="0.25">
      <c r="B248" s="492" t="s">
        <v>404</v>
      </c>
      <c r="C248" s="479"/>
      <c r="D248" s="479"/>
      <c r="E248" s="480"/>
      <c r="F248" s="490">
        <f>1380*8</f>
        <v>11040</v>
      </c>
      <c r="G248" s="557">
        <v>1.38</v>
      </c>
      <c r="H248" s="465">
        <f t="shared" si="16"/>
        <v>18412.254913684199</v>
      </c>
      <c r="I248" s="468">
        <f>12329.9016136842+1329.17719+53.16709+2.68521+0.10849+0.00434+0.00022+0.00001-8703.866+366.47857+5719.3884-11097.04513</f>
        <v>3.6842011468252167E-6</v>
      </c>
      <c r="J248" s="465">
        <v>18412.25491</v>
      </c>
      <c r="K248" s="465">
        <v>0</v>
      </c>
      <c r="L248" s="468">
        <v>0</v>
      </c>
      <c r="M248" s="561">
        <v>0</v>
      </c>
    </row>
    <row r="249" spans="2:15" ht="33" x14ac:dyDescent="0.25">
      <c r="B249" s="492" t="s">
        <v>295</v>
      </c>
      <c r="C249" s="479"/>
      <c r="D249" s="479"/>
      <c r="E249" s="480"/>
      <c r="F249" s="481">
        <f>878*8</f>
        <v>7024</v>
      </c>
      <c r="G249" s="596">
        <v>0.878</v>
      </c>
      <c r="H249" s="465">
        <f t="shared" si="16"/>
        <v>19125.659763684198</v>
      </c>
      <c r="I249" s="468">
        <f>12329.9016136842+1329.17719+53.16709+2.68521+0.10849+0.00434+0.00022+0.00001-8703.866+366.47857+5719.3884-11097.04513</f>
        <v>3.6842011468252167E-6</v>
      </c>
      <c r="J249" s="465">
        <v>19125.659759999999</v>
      </c>
      <c r="K249" s="465">
        <v>0</v>
      </c>
      <c r="L249" s="468">
        <v>0</v>
      </c>
      <c r="M249" s="561">
        <v>0</v>
      </c>
      <c r="N249" s="249"/>
    </row>
    <row r="250" spans="2:15" ht="49.5" x14ac:dyDescent="0.25">
      <c r="B250" s="492" t="s">
        <v>423</v>
      </c>
      <c r="C250" s="479"/>
      <c r="D250" s="479"/>
      <c r="E250" s="480"/>
      <c r="F250" s="490">
        <f>530*8</f>
        <v>4240</v>
      </c>
      <c r="G250" s="557">
        <v>0.53</v>
      </c>
      <c r="H250" s="465">
        <f t="shared" si="16"/>
        <v>7675.1715299999996</v>
      </c>
      <c r="I250" s="468">
        <v>0</v>
      </c>
      <c r="J250" s="172">
        <v>7675.1715299999996</v>
      </c>
      <c r="K250" s="477">
        <v>0</v>
      </c>
      <c r="L250" s="462">
        <v>0</v>
      </c>
      <c r="M250" s="561">
        <v>0</v>
      </c>
    </row>
    <row r="251" spans="2:15" ht="49.5" x14ac:dyDescent="0.25">
      <c r="B251" s="492" t="s">
        <v>433</v>
      </c>
      <c r="C251" s="479"/>
      <c r="D251" s="465"/>
      <c r="E251" s="480"/>
      <c r="F251" s="490">
        <f>2460*5</f>
        <v>12300</v>
      </c>
      <c r="G251" s="557">
        <v>2.46</v>
      </c>
      <c r="H251" s="465">
        <f t="shared" si="16"/>
        <v>194813.39166999998</v>
      </c>
      <c r="I251" s="468">
        <v>0</v>
      </c>
      <c r="J251" s="172">
        <f>194813.44216-0.0499-0.00059</f>
        <v>194813.39166999998</v>
      </c>
      <c r="K251" s="477">
        <v>0</v>
      </c>
      <c r="L251" s="462">
        <v>0</v>
      </c>
      <c r="M251" s="561">
        <v>0</v>
      </c>
      <c r="N251" s="249"/>
      <c r="O251" s="250"/>
    </row>
    <row r="252" spans="2:15" ht="99" x14ac:dyDescent="0.25">
      <c r="B252" s="492" t="s">
        <v>865</v>
      </c>
      <c r="C252" s="479"/>
      <c r="D252" s="465"/>
      <c r="E252" s="480"/>
      <c r="F252" s="490">
        <f>G252*1000*4</f>
        <v>10164</v>
      </c>
      <c r="G252" s="557">
        <v>2.5409999999999999</v>
      </c>
      <c r="H252" s="465">
        <f t="shared" si="16"/>
        <v>186108.02</v>
      </c>
      <c r="I252" s="468">
        <v>0</v>
      </c>
      <c r="J252" s="172">
        <v>0</v>
      </c>
      <c r="K252" s="477">
        <f>'перечень объектов'!I268</f>
        <v>0</v>
      </c>
      <c r="L252" s="462">
        <f>'перечень объектов'!C373</f>
        <v>186108.02</v>
      </c>
      <c r="M252" s="561">
        <v>0</v>
      </c>
      <c r="N252" s="249"/>
      <c r="O252" s="250"/>
    </row>
    <row r="253" spans="2:15" s="485" customFormat="1" ht="99" x14ac:dyDescent="0.25">
      <c r="B253" s="478" t="s">
        <v>794</v>
      </c>
      <c r="C253" s="479"/>
      <c r="D253" s="465"/>
      <c r="E253" s="480"/>
      <c r="F253" s="481">
        <v>24650</v>
      </c>
      <c r="G253" s="557">
        <v>2.0865</v>
      </c>
      <c r="H253" s="465">
        <f t="shared" ref="H253:H312" si="17">SUM(I253:M253)</f>
        <v>47953.704003030303</v>
      </c>
      <c r="I253" s="468">
        <v>0</v>
      </c>
      <c r="J253" s="469">
        <v>0</v>
      </c>
      <c r="K253" s="466">
        <f>'перечень объектов'!C268</f>
        <v>47953.704003030303</v>
      </c>
      <c r="L253" s="465">
        <v>0</v>
      </c>
      <c r="M253" s="483">
        <v>0</v>
      </c>
      <c r="N253" s="484"/>
      <c r="O253" s="467">
        <f>49851724.77</f>
        <v>49851724.770000003</v>
      </c>
    </row>
    <row r="254" spans="2:15" ht="82.5" x14ac:dyDescent="0.25">
      <c r="B254" s="492" t="str">
        <f>'перечень объектов'!B376</f>
        <v>ул. Игнатова от ул. Октябрьская до ул. Цветаева, ул. Цветаева от ул. Игнатова до ул. Приборостроительной, ул. Приборостроительная от ул. Цветаева до ул. Героев Пожарных, ул. Героев Пожарных от ул. Приборостроительной до Наугорского шоссе</v>
      </c>
      <c r="C254" s="479"/>
      <c r="D254" s="465"/>
      <c r="E254" s="480"/>
      <c r="F254" s="490">
        <f>2410*16</f>
        <v>38560</v>
      </c>
      <c r="G254" s="557">
        <v>2.41</v>
      </c>
      <c r="H254" s="465">
        <f t="shared" si="17"/>
        <v>69440</v>
      </c>
      <c r="I254" s="468">
        <v>0</v>
      </c>
      <c r="J254" s="468">
        <v>0</v>
      </c>
      <c r="K254" s="468">
        <f>'перечень объектов'!C269</f>
        <v>34720</v>
      </c>
      <c r="L254" s="468">
        <f>'перечень объектов'!C376</f>
        <v>34720</v>
      </c>
      <c r="M254" s="558">
        <v>0</v>
      </c>
      <c r="N254" s="249"/>
      <c r="O254" s="250">
        <f>48042946.02</f>
        <v>48042946.020000003</v>
      </c>
    </row>
    <row r="255" spans="2:15" ht="23.25" hidden="1" customHeight="1" x14ac:dyDescent="0.25">
      <c r="B255" s="572" t="s">
        <v>418</v>
      </c>
      <c r="C255" s="479"/>
      <c r="D255" s="465"/>
      <c r="E255" s="480"/>
      <c r="F255" s="490">
        <f>970*13-12610</f>
        <v>0</v>
      </c>
      <c r="G255" s="557">
        <f>0.97-0.97</f>
        <v>0</v>
      </c>
      <c r="H255" s="465">
        <f t="shared" si="17"/>
        <v>0</v>
      </c>
      <c r="I255" s="468">
        <v>0</v>
      </c>
      <c r="J255" s="468">
        <v>0</v>
      </c>
      <c r="K255" s="468">
        <v>0</v>
      </c>
      <c r="L255" s="465">
        <v>0</v>
      </c>
      <c r="M255" s="561">
        <f>37830-37830</f>
        <v>0</v>
      </c>
      <c r="N255" s="249"/>
      <c r="O255" s="250"/>
    </row>
    <row r="256" spans="2:15" x14ac:dyDescent="0.25">
      <c r="B256" s="492" t="s">
        <v>419</v>
      </c>
      <c r="C256" s="479"/>
      <c r="D256" s="465"/>
      <c r="E256" s="480"/>
      <c r="F256" s="490">
        <f>776*14-10864</f>
        <v>0</v>
      </c>
      <c r="G256" s="557">
        <f>0.776-0.776</f>
        <v>0</v>
      </c>
      <c r="H256" s="465">
        <f t="shared" si="17"/>
        <v>0</v>
      </c>
      <c r="I256" s="468">
        <v>0</v>
      </c>
      <c r="J256" s="468">
        <v>0</v>
      </c>
      <c r="K256" s="468">
        <v>0</v>
      </c>
      <c r="L256" s="465">
        <v>0</v>
      </c>
      <c r="M256" s="561">
        <f>26073.6-26073.6</f>
        <v>0</v>
      </c>
      <c r="N256" s="249"/>
      <c r="O256" s="250"/>
    </row>
    <row r="257" spans="2:15" ht="33" x14ac:dyDescent="0.25">
      <c r="B257" s="492" t="str">
        <f>'по МК 56'!C6</f>
        <v>Капитальный ремонт автомобильных дорог города Орла на улицах частной жилой застройки: ул. Полевая</v>
      </c>
      <c r="C257" s="479"/>
      <c r="D257" s="465"/>
      <c r="E257" s="480"/>
      <c r="F257" s="490">
        <f>G257*4*1000</f>
        <v>4800</v>
      </c>
      <c r="G257" s="557">
        <f>'по МК 56'!D6/1000</f>
        <v>1.2</v>
      </c>
      <c r="H257" s="465">
        <f t="shared" si="17"/>
        <v>8317.1877650000006</v>
      </c>
      <c r="I257" s="468">
        <v>0</v>
      </c>
      <c r="J257" s="465">
        <v>4158.5938800000004</v>
      </c>
      <c r="K257" s="465">
        <v>4158.5938850000002</v>
      </c>
      <c r="L257" s="465">
        <v>0</v>
      </c>
      <c r="M257" s="561">
        <v>0</v>
      </c>
      <c r="N257" s="249"/>
      <c r="O257" s="250"/>
    </row>
    <row r="258" spans="2:15" ht="33" x14ac:dyDescent="0.25">
      <c r="B258" s="492" t="str">
        <f>'по МК 56'!C7</f>
        <v>Капитальный ремонт автомобильных дорог города Орла на улицах частной жилой застройки: ул. Высокая</v>
      </c>
      <c r="C258" s="479"/>
      <c r="D258" s="465"/>
      <c r="E258" s="480"/>
      <c r="F258" s="490">
        <f t="shared" ref="F258:F328" si="18">G258*4*1000</f>
        <v>4608</v>
      </c>
      <c r="G258" s="557">
        <v>1.1519999999999999</v>
      </c>
      <c r="H258" s="465">
        <f t="shared" si="17"/>
        <v>8175.5357700000004</v>
      </c>
      <c r="I258" s="468">
        <v>0</v>
      </c>
      <c r="J258" s="465">
        <v>4087.7678850000002</v>
      </c>
      <c r="K258" s="465">
        <v>4087.7678850000002</v>
      </c>
      <c r="L258" s="465">
        <v>0</v>
      </c>
      <c r="M258" s="561">
        <v>0</v>
      </c>
      <c r="N258" s="249"/>
      <c r="O258" s="250"/>
    </row>
    <row r="259" spans="2:15" ht="33" x14ac:dyDescent="0.25">
      <c r="B259" s="492" t="str">
        <f>'по МК 56'!C8</f>
        <v>Капитальный ремонт автомобильных дорог города Орла на улицах частной жилой застройки: ул.Радищева</v>
      </c>
      <c r="C259" s="479"/>
      <c r="D259" s="465"/>
      <c r="E259" s="480"/>
      <c r="F259" s="490">
        <f t="shared" si="18"/>
        <v>3720</v>
      </c>
      <c r="G259" s="557">
        <v>0.93</v>
      </c>
      <c r="H259" s="465">
        <f t="shared" si="17"/>
        <v>8246.3617699999995</v>
      </c>
      <c r="I259" s="468">
        <v>0</v>
      </c>
      <c r="J259" s="465">
        <v>4123.1808849999998</v>
      </c>
      <c r="K259" s="465">
        <v>4123.1808849999998</v>
      </c>
      <c r="L259" s="465">
        <v>0</v>
      </c>
      <c r="M259" s="561">
        <v>0</v>
      </c>
      <c r="N259" s="249"/>
      <c r="O259" s="250"/>
    </row>
    <row r="260" spans="2:15" ht="33" x14ac:dyDescent="0.25">
      <c r="B260" s="492" t="str">
        <f>'по МК 56'!C9</f>
        <v>Капитальный ремонт автомобильных дорог города Орла на улицах частной жилой застройки: ул.Волжская</v>
      </c>
      <c r="C260" s="479"/>
      <c r="D260" s="465"/>
      <c r="E260" s="480"/>
      <c r="F260" s="490">
        <f t="shared" si="18"/>
        <v>4400</v>
      </c>
      <c r="G260" s="557">
        <f>'по МК 56'!D9/1000</f>
        <v>1.1000000000000001</v>
      </c>
      <c r="H260" s="465">
        <f t="shared" si="17"/>
        <v>8246.3617699999995</v>
      </c>
      <c r="I260" s="468">
        <v>0</v>
      </c>
      <c r="J260" s="465">
        <v>4123.1808849999998</v>
      </c>
      <c r="K260" s="465">
        <v>4123.1808849999998</v>
      </c>
      <c r="L260" s="465">
        <v>0</v>
      </c>
      <c r="M260" s="561">
        <v>0</v>
      </c>
      <c r="N260" s="249"/>
      <c r="O260" s="250"/>
    </row>
    <row r="261" spans="2:15" ht="33" x14ac:dyDescent="0.25">
      <c r="B261" s="492" t="str">
        <f>'по МК 56'!C10</f>
        <v>Капитальный ремонт автомобильных дорог города Орла на улицах частной жилой застройки: ул.Гвардейская</v>
      </c>
      <c r="C261" s="479"/>
      <c r="D261" s="465"/>
      <c r="E261" s="480"/>
      <c r="F261" s="490">
        <f t="shared" si="18"/>
        <v>5200</v>
      </c>
      <c r="G261" s="557">
        <f>'по МК 56'!D10/1000</f>
        <v>1.3</v>
      </c>
      <c r="H261" s="465">
        <f t="shared" si="17"/>
        <v>11151.770420000001</v>
      </c>
      <c r="I261" s="468">
        <v>0</v>
      </c>
      <c r="J261" s="465">
        <v>5575.8852100000004</v>
      </c>
      <c r="K261" s="465">
        <v>5575.8852100000004</v>
      </c>
      <c r="L261" s="465">
        <v>0</v>
      </c>
      <c r="M261" s="561">
        <v>0</v>
      </c>
      <c r="N261" s="249"/>
      <c r="O261" s="250"/>
    </row>
    <row r="262" spans="2:15" ht="49.5" x14ac:dyDescent="0.25">
      <c r="B262" s="492" t="str">
        <f>'по МК 56'!C11</f>
        <v>Капитальный ремонт автомобильных дорог города Орла на улицах частной жилой застройки: пер.Южный от ул. Тульской до ул. Ольховецкой</v>
      </c>
      <c r="C262" s="479"/>
      <c r="D262" s="465"/>
      <c r="E262" s="480"/>
      <c r="F262" s="490">
        <f t="shared" si="18"/>
        <v>3384</v>
      </c>
      <c r="G262" s="557">
        <v>0.84599999999999997</v>
      </c>
      <c r="H262" s="465">
        <f>SUM(I262:M262)+0.00001</f>
        <v>8577.8546299999998</v>
      </c>
      <c r="I262" s="468">
        <v>0</v>
      </c>
      <c r="J262" s="465">
        <v>4288.9273149999999</v>
      </c>
      <c r="K262" s="465">
        <f>'перечень объектов'!C275</f>
        <v>4288.9273050000002</v>
      </c>
      <c r="L262" s="465">
        <v>0</v>
      </c>
      <c r="M262" s="561">
        <v>0</v>
      </c>
      <c r="N262" s="249"/>
      <c r="O262" s="250">
        <f>SUM(J257:J262)</f>
        <v>26357.536060000002</v>
      </c>
    </row>
    <row r="263" spans="2:15" ht="33" x14ac:dyDescent="0.25">
      <c r="B263" s="492" t="str">
        <f>'по МК 56'!C14</f>
        <v>Капитальный ремонт автомобильных дорог города Орла на улицах частной жилой застройки: ул.Елецкая</v>
      </c>
      <c r="C263" s="479"/>
      <c r="D263" s="465"/>
      <c r="E263" s="480"/>
      <c r="F263" s="490">
        <f t="shared" si="18"/>
        <v>6800</v>
      </c>
      <c r="G263" s="557">
        <v>1.7</v>
      </c>
      <c r="H263" s="465">
        <f t="shared" si="17"/>
        <v>15783.4701</v>
      </c>
      <c r="I263" s="468">
        <v>0</v>
      </c>
      <c r="J263" s="468">
        <v>0</v>
      </c>
      <c r="K263" s="468">
        <f>'по МК 56'!E14/1000</f>
        <v>15783.4701</v>
      </c>
      <c r="L263" s="468">
        <v>0</v>
      </c>
      <c r="M263" s="561">
        <v>0</v>
      </c>
      <c r="N263" s="249"/>
      <c r="O263" s="250">
        <f>O262*0.99/2</f>
        <v>13046.980349700001</v>
      </c>
    </row>
    <row r="264" spans="2:15" ht="33" x14ac:dyDescent="0.25">
      <c r="B264" s="492" t="str">
        <f>'по МК 56'!C15</f>
        <v>Капитальный ремонт автомобильных дорог города Орла на улицах частной жилой застройки: ул.Серпуховская</v>
      </c>
      <c r="C264" s="479"/>
      <c r="D264" s="465"/>
      <c r="E264" s="480"/>
      <c r="F264" s="490">
        <f t="shared" si="18"/>
        <v>7200</v>
      </c>
      <c r="G264" s="557">
        <f>'по МК 56'!D15/1000</f>
        <v>1.8</v>
      </c>
      <c r="H264" s="465">
        <f t="shared" si="17"/>
        <v>14205.123089999997</v>
      </c>
      <c r="I264" s="468">
        <v>0</v>
      </c>
      <c r="J264" s="468">
        <v>0</v>
      </c>
      <c r="K264" s="468">
        <f>'по МК 56'!E15/1000</f>
        <v>14205.123089999997</v>
      </c>
      <c r="L264" s="468">
        <v>0</v>
      </c>
      <c r="M264" s="561">
        <v>0</v>
      </c>
      <c r="N264" s="249"/>
      <c r="O264" s="250"/>
    </row>
    <row r="265" spans="2:15" ht="33" x14ac:dyDescent="0.25">
      <c r="B265" s="492" t="str">
        <f>'по МК 56'!C16</f>
        <v>Капитальный ремонт автомобильных дорог города Орла на улицах частной жилой застройки: пер.Приокский-ул.Отрадная</v>
      </c>
      <c r="C265" s="479"/>
      <c r="D265" s="465"/>
      <c r="E265" s="480"/>
      <c r="F265" s="490">
        <f t="shared" si="18"/>
        <v>2836</v>
      </c>
      <c r="G265" s="557">
        <v>0.70899999999999996</v>
      </c>
      <c r="H265" s="465">
        <f t="shared" si="17"/>
        <v>5800.4252617499997</v>
      </c>
      <c r="I265" s="468">
        <v>0</v>
      </c>
      <c r="J265" s="468">
        <v>0</v>
      </c>
      <c r="K265" s="468">
        <f>'по МК 56'!E16/1000</f>
        <v>5800.4252617499997</v>
      </c>
      <c r="L265" s="468">
        <v>0</v>
      </c>
      <c r="M265" s="561">
        <v>0</v>
      </c>
      <c r="N265" s="249"/>
      <c r="O265" s="250"/>
    </row>
    <row r="266" spans="2:15" ht="33" x14ac:dyDescent="0.25">
      <c r="B266" s="492" t="str">
        <f>'по МК 56'!C17</f>
        <v>Капитальный ремонт автомобильных дорог города Орла на улицах частной жилой застройки: ул.Приокская</v>
      </c>
      <c r="C266" s="479"/>
      <c r="D266" s="465"/>
      <c r="E266" s="480"/>
      <c r="F266" s="490">
        <f t="shared" si="18"/>
        <v>1336</v>
      </c>
      <c r="G266" s="557">
        <f>'по МК 56'!D17/1000</f>
        <v>0.33400000000000002</v>
      </c>
      <c r="H266" s="465">
        <f t="shared" si="17"/>
        <v>2635.8395066999997</v>
      </c>
      <c r="I266" s="468">
        <v>0</v>
      </c>
      <c r="J266" s="468">
        <v>0</v>
      </c>
      <c r="K266" s="468">
        <f>'по МК 56'!E17/1000</f>
        <v>2635.8395066999997</v>
      </c>
      <c r="L266" s="468">
        <v>0</v>
      </c>
      <c r="M266" s="561">
        <v>0</v>
      </c>
      <c r="N266" s="249"/>
      <c r="O266" s="250"/>
    </row>
    <row r="267" spans="2:15" ht="33" x14ac:dyDescent="0.25">
      <c r="B267" s="492" t="str">
        <f>'по МК 56'!C18</f>
        <v>Капитальный ремонт автомобильных дорог города Орла на улицах частной жилой застройки: ул.Скульптурная</v>
      </c>
      <c r="C267" s="479"/>
      <c r="D267" s="465"/>
      <c r="E267" s="480"/>
      <c r="F267" s="490">
        <f t="shared" si="18"/>
        <v>4400</v>
      </c>
      <c r="G267" s="557">
        <f>'по МК 56'!D18/1000</f>
        <v>1.1000000000000001</v>
      </c>
      <c r="H267" s="465">
        <f t="shared" si="17"/>
        <v>8680.908555</v>
      </c>
      <c r="I267" s="468">
        <v>0</v>
      </c>
      <c r="J267" s="468">
        <v>0</v>
      </c>
      <c r="K267" s="468">
        <f>'по МК 56'!E18/1000</f>
        <v>8680.908555</v>
      </c>
      <c r="L267" s="468">
        <v>0</v>
      </c>
      <c r="M267" s="561">
        <v>0</v>
      </c>
      <c r="N267" s="249"/>
      <c r="O267" s="250"/>
    </row>
    <row r="268" spans="2:15" ht="33" x14ac:dyDescent="0.25">
      <c r="B268" s="492" t="str">
        <f>'по МК 56'!C19</f>
        <v>Капитальный ремонт автомобильных дорог города Орла на улицах частной жилой застройки: ул.Менделеева</v>
      </c>
      <c r="C268" s="479"/>
      <c r="D268" s="465"/>
      <c r="E268" s="480"/>
      <c r="F268" s="490">
        <f t="shared" si="18"/>
        <v>3592</v>
      </c>
      <c r="G268" s="557">
        <f>'по МК 56'!D19/1000</f>
        <v>0.89800000000000002</v>
      </c>
      <c r="H268" s="465">
        <f t="shared" si="17"/>
        <v>7086.7780749000003</v>
      </c>
      <c r="I268" s="468">
        <v>0</v>
      </c>
      <c r="J268" s="468">
        <v>0</v>
      </c>
      <c r="K268" s="468">
        <f>'по МК 56'!E19/1000</f>
        <v>7086.7780749000003</v>
      </c>
      <c r="L268" s="468">
        <v>0</v>
      </c>
      <c r="M268" s="561">
        <v>0</v>
      </c>
      <c r="N268" s="249"/>
      <c r="O268" s="250"/>
    </row>
    <row r="269" spans="2:15" ht="33" x14ac:dyDescent="0.25">
      <c r="B269" s="492" t="str">
        <f>'по МК 56'!C20</f>
        <v>Капитальный ремонт автомобильных дорог города Орла на улицах частной жилой застройки: ул.Яблочная</v>
      </c>
      <c r="C269" s="479"/>
      <c r="D269" s="465"/>
      <c r="E269" s="480"/>
      <c r="F269" s="490">
        <f t="shared" si="18"/>
        <v>4000</v>
      </c>
      <c r="G269" s="557">
        <v>1</v>
      </c>
      <c r="H269" s="465">
        <f t="shared" si="17"/>
        <v>12626.77608</v>
      </c>
      <c r="I269" s="468">
        <v>0</v>
      </c>
      <c r="J269" s="468">
        <v>0</v>
      </c>
      <c r="K269" s="468">
        <f>'по МК 56'!E20/1000</f>
        <v>12626.77608</v>
      </c>
      <c r="L269" s="468">
        <v>0</v>
      </c>
      <c r="M269" s="561">
        <v>0</v>
      </c>
      <c r="N269" s="249"/>
      <c r="O269" s="250"/>
    </row>
    <row r="270" spans="2:15" ht="33" x14ac:dyDescent="0.25">
      <c r="B270" s="492" t="str">
        <f>'по МК 56'!C21</f>
        <v>Капитальный ремонт автомобильных дорог города Орла на улицах частной жилой застройки: пер.Половецкий</v>
      </c>
      <c r="C270" s="479"/>
      <c r="D270" s="465"/>
      <c r="E270" s="480"/>
      <c r="F270" s="490">
        <f t="shared" si="18"/>
        <v>4800</v>
      </c>
      <c r="G270" s="557">
        <f>'по МК 56'!D21/1000</f>
        <v>1.2</v>
      </c>
      <c r="H270" s="465">
        <f t="shared" si="17"/>
        <v>9470.0820600000006</v>
      </c>
      <c r="I270" s="468">
        <v>0</v>
      </c>
      <c r="J270" s="468">
        <v>0</v>
      </c>
      <c r="K270" s="468">
        <f>'по МК 56'!E21/1000</f>
        <v>9470.0820600000006</v>
      </c>
      <c r="L270" s="468">
        <v>0</v>
      </c>
      <c r="M270" s="561">
        <v>0</v>
      </c>
      <c r="N270" s="249"/>
      <c r="O270" s="250"/>
    </row>
    <row r="271" spans="2:15" ht="33" x14ac:dyDescent="0.25">
      <c r="B271" s="492" t="str">
        <f>'по МК 56'!C22</f>
        <v>Капитальный ремонт автомобильных дорог города Орла на улицах частной жилой застройки: ул. Полигонная</v>
      </c>
      <c r="C271" s="479"/>
      <c r="D271" s="465"/>
      <c r="E271" s="480"/>
      <c r="F271" s="490">
        <f t="shared" si="18"/>
        <v>1652</v>
      </c>
      <c r="G271" s="557">
        <f>'по МК 56'!D22/1000</f>
        <v>0.41299999999999998</v>
      </c>
      <c r="H271" s="465">
        <f t="shared" si="17"/>
        <v>3259.28657565</v>
      </c>
      <c r="I271" s="468">
        <v>0</v>
      </c>
      <c r="J271" s="468">
        <v>0</v>
      </c>
      <c r="K271" s="468">
        <f>'по МК 56'!E22/1000</f>
        <v>3259.28657565</v>
      </c>
      <c r="L271" s="468">
        <v>0</v>
      </c>
      <c r="M271" s="561">
        <v>0</v>
      </c>
      <c r="N271" s="249"/>
      <c r="O271" s="250"/>
    </row>
    <row r="272" spans="2:15" ht="33" x14ac:dyDescent="0.25">
      <c r="B272" s="492" t="str">
        <f>'по МК 56'!C23</f>
        <v>Капитальный ремонт автомобильных дорог города Орла на улицах частной жилой застройки: ул. Ново-Лужковская</v>
      </c>
      <c r="C272" s="479"/>
      <c r="D272" s="465"/>
      <c r="E272" s="480"/>
      <c r="F272" s="490">
        <f t="shared" si="18"/>
        <v>1960</v>
      </c>
      <c r="G272" s="557">
        <v>0.49</v>
      </c>
      <c r="H272" s="465">
        <f t="shared" si="17"/>
        <v>3874.8419095499994</v>
      </c>
      <c r="I272" s="468">
        <v>0</v>
      </c>
      <c r="J272" s="468">
        <v>0</v>
      </c>
      <c r="K272" s="468">
        <f>'по МК 56'!E23/1000</f>
        <v>3874.8419095499994</v>
      </c>
      <c r="L272" s="468">
        <v>0</v>
      </c>
      <c r="M272" s="561">
        <v>0</v>
      </c>
      <c r="N272" s="249"/>
      <c r="O272" s="250"/>
    </row>
    <row r="273" spans="2:15" ht="33" x14ac:dyDescent="0.25">
      <c r="B273" s="492" t="str">
        <f>'по МК 56'!C24</f>
        <v xml:space="preserve">Капитальный ремонт автомобильных дорог города Орла на улицах частной жилой застройки: ул. Магазинная </v>
      </c>
      <c r="C273" s="479"/>
      <c r="D273" s="465"/>
      <c r="E273" s="480"/>
      <c r="F273" s="490">
        <f t="shared" si="18"/>
        <v>2787.6</v>
      </c>
      <c r="G273" s="557">
        <v>0.69689999999999996</v>
      </c>
      <c r="H273" s="465">
        <f t="shared" si="17"/>
        <v>5682.0492400000003</v>
      </c>
      <c r="I273" s="468">
        <v>0</v>
      </c>
      <c r="J273" s="468">
        <v>0</v>
      </c>
      <c r="K273" s="468">
        <f>'перечень объектов'!C286</f>
        <v>5682.0492400000003</v>
      </c>
      <c r="L273" s="468">
        <v>0</v>
      </c>
      <c r="M273" s="561">
        <v>0</v>
      </c>
      <c r="N273" s="249"/>
      <c r="O273" s="250"/>
    </row>
    <row r="274" spans="2:15" ht="33" x14ac:dyDescent="0.25">
      <c r="B274" s="492" t="str">
        <f>'по МК 56'!C25</f>
        <v>Капитальный ремонт автомобильных дорог города Орла на улицах частной жилой застройки: ул.Турбина</v>
      </c>
      <c r="C274" s="479"/>
      <c r="D274" s="465"/>
      <c r="E274" s="480"/>
      <c r="F274" s="490">
        <f t="shared" si="18"/>
        <v>920</v>
      </c>
      <c r="G274" s="557">
        <v>0.23</v>
      </c>
      <c r="H274" s="465">
        <f t="shared" si="17"/>
        <v>2769.9990025499997</v>
      </c>
      <c r="I274" s="468">
        <v>0</v>
      </c>
      <c r="J274" s="468">
        <v>0</v>
      </c>
      <c r="K274" s="468">
        <f>'по МК 56'!E25/1000</f>
        <v>2769.9990025499997</v>
      </c>
      <c r="L274" s="468">
        <v>0</v>
      </c>
      <c r="M274" s="561">
        <v>0</v>
      </c>
      <c r="N274" s="249"/>
      <c r="O274" s="250"/>
    </row>
    <row r="275" spans="2:15" ht="33" x14ac:dyDescent="0.25">
      <c r="B275" s="492" t="str">
        <f>'по МК 56'!C26</f>
        <v>Капитальный ремонт автомобильных дорог города Орла на улицах частной жилой застройки: ул.Кривцова</v>
      </c>
      <c r="C275" s="479"/>
      <c r="D275" s="465"/>
      <c r="E275" s="480"/>
      <c r="F275" s="490">
        <f t="shared" si="18"/>
        <v>920</v>
      </c>
      <c r="G275" s="557">
        <v>0.23</v>
      </c>
      <c r="H275" s="465">
        <f t="shared" si="17"/>
        <v>3551.2807724999993</v>
      </c>
      <c r="I275" s="468">
        <v>0</v>
      </c>
      <c r="J275" s="468">
        <v>0</v>
      </c>
      <c r="K275" s="468">
        <f>'по МК 56'!E26/1000</f>
        <v>3551.2807724999993</v>
      </c>
      <c r="L275" s="468">
        <v>0</v>
      </c>
      <c r="M275" s="561">
        <v>0</v>
      </c>
      <c r="N275" s="249"/>
      <c r="O275" s="250"/>
    </row>
    <row r="276" spans="2:15" ht="33" x14ac:dyDescent="0.25">
      <c r="B276" s="492" t="str">
        <f>'по МК 56'!C27</f>
        <v>Капитальный ремонт автомобильных дорог города Орла на улицах частной жилой застройки: пер.Городской</v>
      </c>
      <c r="C276" s="479"/>
      <c r="D276" s="465"/>
      <c r="E276" s="480"/>
      <c r="F276" s="490">
        <f t="shared" si="18"/>
        <v>2312</v>
      </c>
      <c r="G276" s="557">
        <f>'по МК 56'!D27/1000</f>
        <v>0.57799999999999996</v>
      </c>
      <c r="H276" s="465">
        <f t="shared" si="17"/>
        <v>4561.4228588999995</v>
      </c>
      <c r="I276" s="468">
        <v>0</v>
      </c>
      <c r="J276" s="468">
        <v>0</v>
      </c>
      <c r="K276" s="468">
        <f>'по МК 56'!E27/1000</f>
        <v>4561.4228588999995</v>
      </c>
      <c r="L276" s="468">
        <v>0</v>
      </c>
      <c r="M276" s="561">
        <v>0</v>
      </c>
      <c r="N276" s="249"/>
      <c r="O276" s="250"/>
    </row>
    <row r="277" spans="2:15" ht="33" x14ac:dyDescent="0.25">
      <c r="B277" s="492" t="str">
        <f>'по МК 56'!C28</f>
        <v>Капитальный ремонт автомобильных дорог города Орла на улицах частной жилой застройки: ул.Линейная</v>
      </c>
      <c r="C277" s="479"/>
      <c r="D277" s="465"/>
      <c r="E277" s="480"/>
      <c r="F277" s="490">
        <f t="shared" si="18"/>
        <v>1920</v>
      </c>
      <c r="G277" s="557">
        <v>0.48</v>
      </c>
      <c r="H277" s="465">
        <f t="shared" si="17"/>
        <v>7165.6954254000002</v>
      </c>
      <c r="I277" s="468">
        <v>0</v>
      </c>
      <c r="J277" s="468">
        <v>0</v>
      </c>
      <c r="K277" s="468">
        <f>'по МК 56'!E28/1000</f>
        <v>7165.6954254000002</v>
      </c>
      <c r="L277" s="468">
        <v>0</v>
      </c>
      <c r="M277" s="561">
        <v>0</v>
      </c>
      <c r="N277" s="249"/>
      <c r="O277" s="250"/>
    </row>
    <row r="278" spans="2:15" ht="33" x14ac:dyDescent="0.25">
      <c r="B278" s="492" t="str">
        <f>'по МК 56'!C29</f>
        <v>Капитальный ремонт автомобильных дорог города Орла на улицах частной жилой застройки: ул.Степная</v>
      </c>
      <c r="C278" s="479"/>
      <c r="D278" s="465"/>
      <c r="E278" s="480"/>
      <c r="F278" s="490">
        <f t="shared" si="18"/>
        <v>3720</v>
      </c>
      <c r="G278" s="557">
        <v>0.93</v>
      </c>
      <c r="H278" s="465">
        <f t="shared" si="17"/>
        <v>7544.4981699999998</v>
      </c>
      <c r="I278" s="468">
        <v>0</v>
      </c>
      <c r="J278" s="468">
        <v>0</v>
      </c>
      <c r="K278" s="468">
        <f>'перечень объектов'!C291</f>
        <v>7544.4981699999998</v>
      </c>
      <c r="L278" s="468">
        <v>0</v>
      </c>
      <c r="M278" s="561">
        <v>0</v>
      </c>
      <c r="N278" s="249"/>
      <c r="O278" s="250"/>
    </row>
    <row r="279" spans="2:15" ht="49.5" x14ac:dyDescent="0.25">
      <c r="B279" s="492" t="str">
        <f>'по МК 56'!C30</f>
        <v>Капитальный ремонт автомобильных дорог города Орла на улицах частной жилой застройки: ул.Лужковская от ул. Поселковая до ул. Афонина</v>
      </c>
      <c r="C279" s="479"/>
      <c r="D279" s="465"/>
      <c r="E279" s="480"/>
      <c r="F279" s="490">
        <f t="shared" si="18"/>
        <v>2268</v>
      </c>
      <c r="G279" s="557">
        <f>'по МК 56'!D30/1000</f>
        <v>0.56699999999999995</v>
      </c>
      <c r="H279" s="465">
        <f t="shared" si="17"/>
        <v>4474.6138033500001</v>
      </c>
      <c r="I279" s="468">
        <v>0</v>
      </c>
      <c r="J279" s="468">
        <v>0</v>
      </c>
      <c r="K279" s="468">
        <f>'по МК 56'!E30/1000</f>
        <v>4474.6138033500001</v>
      </c>
      <c r="L279" s="468">
        <v>0</v>
      </c>
      <c r="M279" s="561">
        <v>0</v>
      </c>
      <c r="N279" s="249"/>
      <c r="O279" s="250"/>
    </row>
    <row r="280" spans="2:15" ht="33" x14ac:dyDescent="0.25">
      <c r="B280" s="492" t="str">
        <f>'по МК 56'!C31</f>
        <v xml:space="preserve">Капитальный ремонт автомобильных дорог города Орла на улицах частной жилой застройки: ул.Уральская </v>
      </c>
      <c r="C280" s="479"/>
      <c r="D280" s="465"/>
      <c r="E280" s="480"/>
      <c r="F280" s="490">
        <f t="shared" si="18"/>
        <v>800</v>
      </c>
      <c r="G280" s="557">
        <v>0.2</v>
      </c>
      <c r="H280" s="465">
        <f t="shared" si="17"/>
        <v>2643.7312417500002</v>
      </c>
      <c r="I280" s="468">
        <v>0</v>
      </c>
      <c r="J280" s="468">
        <v>0</v>
      </c>
      <c r="K280" s="468">
        <f>'по МК 56'!E31/1000</f>
        <v>2643.7312417500002</v>
      </c>
      <c r="L280" s="468">
        <v>0</v>
      </c>
      <c r="M280" s="561">
        <v>0</v>
      </c>
      <c r="N280" s="249"/>
      <c r="O280" s="250"/>
    </row>
    <row r="281" spans="2:15" ht="33" x14ac:dyDescent="0.25">
      <c r="B281" s="492" t="str">
        <f>'по МК 56'!C32</f>
        <v>Капитальный ремонт автомобильных дорог города Орла на улицах частной жилой застройки: ул.Мичурина</v>
      </c>
      <c r="C281" s="479"/>
      <c r="D281" s="465"/>
      <c r="E281" s="480"/>
      <c r="F281" s="490">
        <f t="shared" si="18"/>
        <v>5200</v>
      </c>
      <c r="G281" s="557">
        <f>'по МК 56'!D32/1000</f>
        <v>1.3</v>
      </c>
      <c r="H281" s="465">
        <f t="shared" si="17"/>
        <v>10259.265565</v>
      </c>
      <c r="I281" s="468">
        <v>0</v>
      </c>
      <c r="J281" s="468">
        <v>0</v>
      </c>
      <c r="K281" s="468">
        <f>'по МК 56'!E32/1000+0.01</f>
        <v>10259.265565</v>
      </c>
      <c r="L281" s="468">
        <v>0</v>
      </c>
      <c r="M281" s="561">
        <v>0</v>
      </c>
      <c r="N281" s="249"/>
      <c r="O281" s="250"/>
    </row>
    <row r="282" spans="2:15" ht="33" x14ac:dyDescent="0.25">
      <c r="B282" s="492" t="str">
        <f>'по МК 56'!C33</f>
        <v>Капитальный ремонт автомобильных дорог города Орла на улицах частной жилой застройки: ул. Смоленская</v>
      </c>
      <c r="C282" s="479"/>
      <c r="D282" s="465"/>
      <c r="E282" s="480"/>
      <c r="F282" s="490">
        <f t="shared" si="18"/>
        <v>2572</v>
      </c>
      <c r="G282" s="557">
        <f>'по МК 56'!D33/1000</f>
        <v>0.64300000000000002</v>
      </c>
      <c r="H282" s="465">
        <f t="shared" si="17"/>
        <v>5074.3856371499996</v>
      </c>
      <c r="I282" s="468">
        <v>0</v>
      </c>
      <c r="J282" s="468">
        <v>0</v>
      </c>
      <c r="K282" s="468">
        <f>'по МК 56'!E33/1000</f>
        <v>5074.3856371499996</v>
      </c>
      <c r="L282" s="468">
        <v>0</v>
      </c>
      <c r="M282" s="561">
        <v>0</v>
      </c>
      <c r="N282" s="249"/>
      <c r="O282" s="250"/>
    </row>
    <row r="283" spans="2:15" ht="49.5" x14ac:dyDescent="0.25">
      <c r="B283" s="492" t="str">
        <f>'по МК 56'!C34</f>
        <v>Капитальный ремонт автомобильных дорог города Орла на улицах частной жилой застройки: ул. 3 Курская от ул. Магазинной до дома 94</v>
      </c>
      <c r="C283" s="479"/>
      <c r="D283" s="465"/>
      <c r="E283" s="480"/>
      <c r="F283" s="490">
        <f t="shared" si="18"/>
        <v>592</v>
      </c>
      <c r="G283" s="557">
        <f>'по МК 56'!D34/1000</f>
        <v>0.14799999999999999</v>
      </c>
      <c r="H283" s="465">
        <f t="shared" si="17"/>
        <v>1167.9767873999999</v>
      </c>
      <c r="I283" s="468">
        <v>0</v>
      </c>
      <c r="J283" s="468">
        <v>0</v>
      </c>
      <c r="K283" s="468">
        <f>'по МК 56'!E34/1000</f>
        <v>1167.9767873999999</v>
      </c>
      <c r="L283" s="468">
        <v>0</v>
      </c>
      <c r="M283" s="561">
        <v>0</v>
      </c>
      <c r="N283" s="249"/>
      <c r="O283" s="250"/>
    </row>
    <row r="284" spans="2:15" ht="33" x14ac:dyDescent="0.25">
      <c r="B284" s="492" t="str">
        <f>'по МК 56'!C35</f>
        <v>Капитальный ремонт автомобильных дорог города Орла на улицах частной жилой застройки: ул. Дружбы</v>
      </c>
      <c r="C284" s="479"/>
      <c r="D284" s="465"/>
      <c r="E284" s="480"/>
      <c r="F284" s="490">
        <f t="shared" si="18"/>
        <v>2176</v>
      </c>
      <c r="G284" s="557">
        <f>'по МК 56'!D35/1000</f>
        <v>0.54400000000000004</v>
      </c>
      <c r="H284" s="465">
        <f t="shared" si="17"/>
        <v>4293.1038671999995</v>
      </c>
      <c r="I284" s="468">
        <v>0</v>
      </c>
      <c r="J284" s="468">
        <v>0</v>
      </c>
      <c r="K284" s="468">
        <f>'по МК 56'!E35/1000</f>
        <v>4293.1038671999995</v>
      </c>
      <c r="L284" s="468">
        <v>0</v>
      </c>
      <c r="M284" s="561">
        <v>0</v>
      </c>
      <c r="N284" s="249"/>
      <c r="O284" s="250"/>
    </row>
    <row r="285" spans="2:15" ht="33" x14ac:dyDescent="0.25">
      <c r="B285" s="492" t="str">
        <f>'по МК 56'!C36</f>
        <v>Капитальный ремонт автомобильных дорог города Орла на улицах частной жилой застройки: пер. Ковыльный</v>
      </c>
      <c r="C285" s="479"/>
      <c r="D285" s="465"/>
      <c r="E285" s="480"/>
      <c r="F285" s="490">
        <f t="shared" si="18"/>
        <v>1772</v>
      </c>
      <c r="G285" s="557">
        <f>'по МК 56'!D36/1000</f>
        <v>0.443</v>
      </c>
      <c r="H285" s="465">
        <f t="shared" si="17"/>
        <v>3496.0386271500001</v>
      </c>
      <c r="I285" s="468">
        <v>0</v>
      </c>
      <c r="J285" s="468">
        <v>0</v>
      </c>
      <c r="K285" s="468">
        <f>'по МК 56'!E36/1000</f>
        <v>3496.0386271500001</v>
      </c>
      <c r="L285" s="468">
        <v>0</v>
      </c>
      <c r="M285" s="561">
        <v>0</v>
      </c>
      <c r="N285" s="249"/>
      <c r="O285" s="250"/>
    </row>
    <row r="286" spans="2:15" ht="33" x14ac:dyDescent="0.25">
      <c r="B286" s="492" t="str">
        <f>'по МК 56'!C37</f>
        <v>Капитальный ремонт автомобильных дорог города Орла на улицах частной жилой застройки: пер. Лужковский</v>
      </c>
      <c r="C286" s="479"/>
      <c r="D286" s="465"/>
      <c r="E286" s="480"/>
      <c r="F286" s="490">
        <f t="shared" si="18"/>
        <v>2320</v>
      </c>
      <c r="G286" s="557">
        <v>0.57999999999999996</v>
      </c>
      <c r="H286" s="465">
        <f t="shared" si="17"/>
        <v>5634.6988257000003</v>
      </c>
      <c r="I286" s="468">
        <v>0</v>
      </c>
      <c r="J286" s="468">
        <v>0</v>
      </c>
      <c r="K286" s="468">
        <f>'по МК 56'!E37/1000</f>
        <v>5634.6988257000003</v>
      </c>
      <c r="L286" s="468">
        <v>0</v>
      </c>
      <c r="M286" s="561">
        <v>0</v>
      </c>
      <c r="N286" s="249"/>
      <c r="O286" s="250"/>
    </row>
    <row r="287" spans="2:15" ht="33" x14ac:dyDescent="0.25">
      <c r="B287" s="492" t="str">
        <f>'по МК 56'!C38</f>
        <v>Капитальный ремонт автомобильных дорог города Орла на улицах частной жилой застройки: пер. Менделеева</v>
      </c>
      <c r="C287" s="479"/>
      <c r="D287" s="465"/>
      <c r="E287" s="480"/>
      <c r="F287" s="490">
        <f t="shared" si="18"/>
        <v>568</v>
      </c>
      <c r="G287" s="557">
        <f>'по МК 56'!D38/1000</f>
        <v>0.14199999999999999</v>
      </c>
      <c r="H287" s="465">
        <f t="shared" si="17"/>
        <v>1120.6263270999998</v>
      </c>
      <c r="I287" s="468">
        <v>0</v>
      </c>
      <c r="J287" s="468">
        <v>0</v>
      </c>
      <c r="K287" s="468">
        <f>'по МК 56'!E38/1000</f>
        <v>1120.6263270999998</v>
      </c>
      <c r="L287" s="468">
        <v>0</v>
      </c>
      <c r="M287" s="561">
        <v>0</v>
      </c>
      <c r="N287" s="249"/>
      <c r="O287" s="250"/>
    </row>
    <row r="288" spans="2:15" ht="33" x14ac:dyDescent="0.25">
      <c r="B288" s="492" t="str">
        <f>'по МК 56'!C39</f>
        <v>Капитальный ремонт автомобильных дорог города Орла на улицах частной жилой застройки: пер. Еловый</v>
      </c>
      <c r="C288" s="479"/>
      <c r="D288" s="465"/>
      <c r="E288" s="480"/>
      <c r="F288" s="490">
        <f t="shared" si="18"/>
        <v>640</v>
      </c>
      <c r="G288" s="557">
        <f>'по МК 56'!D39/1000</f>
        <v>0.16</v>
      </c>
      <c r="H288" s="465">
        <f t="shared" si="17"/>
        <v>1262.6776079999997</v>
      </c>
      <c r="I288" s="468">
        <v>0</v>
      </c>
      <c r="J288" s="468">
        <v>0</v>
      </c>
      <c r="K288" s="468">
        <f>'по МК 56'!E39/1000</f>
        <v>1262.6776079999997</v>
      </c>
      <c r="L288" s="468">
        <v>0</v>
      </c>
      <c r="M288" s="561">
        <v>0</v>
      </c>
      <c r="N288" s="249"/>
      <c r="O288" s="250"/>
    </row>
    <row r="289" spans="2:15" ht="33" x14ac:dyDescent="0.25">
      <c r="B289" s="492" t="str">
        <f>'по МК 56'!C40</f>
        <v>Капитальный ремонт автомобильных дорог города Орла на улицах частной жилой застройки: ул. Светлая</v>
      </c>
      <c r="C289" s="479"/>
      <c r="D289" s="465"/>
      <c r="E289" s="480"/>
      <c r="F289" s="490">
        <f t="shared" si="18"/>
        <v>1868</v>
      </c>
      <c r="G289" s="557">
        <f>'по МК 56'!D40/1000</f>
        <v>0.46700000000000003</v>
      </c>
      <c r="H289" s="465">
        <f t="shared" si="17"/>
        <v>3685.4402683500002</v>
      </c>
      <c r="I289" s="468">
        <v>0</v>
      </c>
      <c r="J289" s="468">
        <v>0</v>
      </c>
      <c r="K289" s="468">
        <f>'по МК 56'!E40/1000</f>
        <v>3685.4402683500002</v>
      </c>
      <c r="L289" s="468">
        <v>0</v>
      </c>
      <c r="M289" s="561">
        <v>0</v>
      </c>
      <c r="N289" s="249"/>
      <c r="O289" s="250"/>
    </row>
    <row r="290" spans="2:15" ht="33" x14ac:dyDescent="0.25">
      <c r="B290" s="492" t="str">
        <f>'по МК 56'!C41</f>
        <v>Капитальный ремонт автомобильных дорог города Орла на улицах частной жилой застройки: пер. Грибной</v>
      </c>
      <c r="C290" s="479"/>
      <c r="D290" s="465"/>
      <c r="E290" s="480"/>
      <c r="F290" s="490">
        <f t="shared" si="18"/>
        <v>312</v>
      </c>
      <c r="G290" s="557">
        <v>7.8E-2</v>
      </c>
      <c r="H290" s="465">
        <f t="shared" si="17"/>
        <v>1467.8627192999998</v>
      </c>
      <c r="I290" s="468">
        <v>0</v>
      </c>
      <c r="J290" s="468">
        <v>0</v>
      </c>
      <c r="K290" s="468">
        <f>'по МК 56'!E41/1000</f>
        <v>1467.8627192999998</v>
      </c>
      <c r="L290" s="468">
        <v>0</v>
      </c>
      <c r="M290" s="561">
        <v>0</v>
      </c>
      <c r="N290" s="249"/>
      <c r="O290" s="250"/>
    </row>
    <row r="291" spans="2:15" ht="49.5" x14ac:dyDescent="0.25">
      <c r="B291" s="492" t="str">
        <f>'по МК 56'!C42</f>
        <v>Капитальный ремонт автомобильных дорог города Орла на улицах частной жилой застройки: ул. 6 Орловской дивизии (на участке от ул. Афонина до ул. Поселковая)</v>
      </c>
      <c r="C291" s="479"/>
      <c r="D291" s="465"/>
      <c r="E291" s="480"/>
      <c r="F291" s="490">
        <f t="shared" si="18"/>
        <v>1792</v>
      </c>
      <c r="G291" s="557">
        <f>'по МК 56'!D42/1000</f>
        <v>0.44800000000000001</v>
      </c>
      <c r="H291" s="465">
        <f t="shared" si="17"/>
        <v>3535.4973024000001</v>
      </c>
      <c r="I291" s="468">
        <v>0</v>
      </c>
      <c r="J291" s="468">
        <v>0</v>
      </c>
      <c r="K291" s="468">
        <f>'по МК 56'!E42/1000</f>
        <v>3535.4973024000001</v>
      </c>
      <c r="L291" s="468">
        <v>0</v>
      </c>
      <c r="M291" s="561">
        <v>0</v>
      </c>
      <c r="N291" s="249"/>
      <c r="O291" s="250"/>
    </row>
    <row r="292" spans="2:15" ht="33" x14ac:dyDescent="0.25">
      <c r="B292" s="492" t="str">
        <f>'по МК 56'!C43</f>
        <v>Капитальный ремонт автомобильных дорог города Орла на улицах частной жилой застройки: ул. Заречная</v>
      </c>
      <c r="C292" s="479"/>
      <c r="D292" s="465"/>
      <c r="E292" s="480"/>
      <c r="F292" s="490">
        <f t="shared" si="18"/>
        <v>3644</v>
      </c>
      <c r="G292" s="557">
        <f>'по МК 56'!D43/1000</f>
        <v>0.91100000000000003</v>
      </c>
      <c r="H292" s="465">
        <f t="shared" si="17"/>
        <v>7189.37063055</v>
      </c>
      <c r="I292" s="468">
        <v>0</v>
      </c>
      <c r="J292" s="468">
        <v>0</v>
      </c>
      <c r="K292" s="468">
        <f>'по МК 56'!E43/1000</f>
        <v>7189.37063055</v>
      </c>
      <c r="L292" s="468">
        <v>0</v>
      </c>
      <c r="M292" s="561">
        <v>0</v>
      </c>
      <c r="N292" s="249"/>
      <c r="O292" s="250"/>
    </row>
    <row r="293" spans="2:15" ht="33" x14ac:dyDescent="0.25">
      <c r="B293" s="492" t="str">
        <f>'по МК 56'!C44</f>
        <v>Капитальный ремонт автомобильных дорог города Орла на улицах частной жилой застройки: ул. Тимирязева</v>
      </c>
      <c r="C293" s="479"/>
      <c r="D293" s="465"/>
      <c r="E293" s="480"/>
      <c r="F293" s="490">
        <f t="shared" si="18"/>
        <v>3800</v>
      </c>
      <c r="G293" s="557">
        <v>0.95</v>
      </c>
      <c r="H293" s="465">
        <f t="shared" si="17"/>
        <v>7670.7664385999997</v>
      </c>
      <c r="I293" s="468">
        <v>0</v>
      </c>
      <c r="J293" s="468">
        <v>0</v>
      </c>
      <c r="K293" s="468">
        <f>'по МК 56'!E44/1000-0.00001</f>
        <v>7670.7664385999997</v>
      </c>
      <c r="L293" s="468">
        <v>0</v>
      </c>
      <c r="M293" s="561">
        <v>0</v>
      </c>
      <c r="N293" s="249"/>
      <c r="O293" s="250"/>
    </row>
    <row r="294" spans="2:15" ht="33" x14ac:dyDescent="0.25">
      <c r="B294" s="492" t="str">
        <f>'по МК 56'!C45</f>
        <v>Капитальный ремонт автомобильных дорог города Орла на улицах частной жилой застройки: ул. Афонина</v>
      </c>
      <c r="C294" s="479"/>
      <c r="D294" s="465"/>
      <c r="E294" s="480"/>
      <c r="F294" s="490">
        <f t="shared" si="18"/>
        <v>2572</v>
      </c>
      <c r="G294" s="557">
        <f>'по МК 56'!D45/1000</f>
        <v>0.64300000000000002</v>
      </c>
      <c r="H294" s="465">
        <f t="shared" si="17"/>
        <v>5074.3856371499996</v>
      </c>
      <c r="I294" s="468">
        <v>0</v>
      </c>
      <c r="J294" s="468">
        <v>0</v>
      </c>
      <c r="K294" s="468">
        <f>'по МК 56'!E45/1000</f>
        <v>5074.3856371499996</v>
      </c>
      <c r="L294" s="468">
        <v>0</v>
      </c>
      <c r="M294" s="561">
        <v>0</v>
      </c>
      <c r="N294" s="249"/>
      <c r="O294" s="250"/>
    </row>
    <row r="295" spans="2:15" ht="33" x14ac:dyDescent="0.25">
      <c r="B295" s="492" t="str">
        <f>'по МК 56'!C46</f>
        <v>Капитальный ремонт автомобильных дорог города Орла на улицах частной жилой застройки: пер. Пойменный</v>
      </c>
      <c r="C295" s="479"/>
      <c r="D295" s="465"/>
      <c r="E295" s="480"/>
      <c r="F295" s="490">
        <f t="shared" si="18"/>
        <v>1396</v>
      </c>
      <c r="G295" s="557">
        <f>'по МК 56'!D46/1000</f>
        <v>0.34899999999999998</v>
      </c>
      <c r="H295" s="465">
        <f t="shared" si="17"/>
        <v>2754.2155624500001</v>
      </c>
      <c r="I295" s="468">
        <v>0</v>
      </c>
      <c r="J295" s="468">
        <v>0</v>
      </c>
      <c r="K295" s="468">
        <f>'по МК 56'!E46/1000+0.00001</f>
        <v>2754.2155624500001</v>
      </c>
      <c r="L295" s="468">
        <v>0</v>
      </c>
      <c r="M295" s="561">
        <v>0</v>
      </c>
      <c r="N295" s="249"/>
      <c r="O295" s="250"/>
    </row>
    <row r="296" spans="2:15" ht="33" x14ac:dyDescent="0.25">
      <c r="B296" s="492" t="str">
        <f>'по МК 56'!C47</f>
        <v>Капитальный ремонт автомобильных дорог города Орла на улицах частной жилой застройки: пер. Отрадный</v>
      </c>
      <c r="C296" s="479"/>
      <c r="D296" s="465"/>
      <c r="E296" s="480"/>
      <c r="F296" s="490">
        <f t="shared" si="18"/>
        <v>604</v>
      </c>
      <c r="G296" s="557">
        <f>'по МК 56'!D47/1000</f>
        <v>0.151</v>
      </c>
      <c r="H296" s="465">
        <f t="shared" si="17"/>
        <v>1191.6519925499999</v>
      </c>
      <c r="I296" s="468">
        <v>0</v>
      </c>
      <c r="J296" s="468">
        <v>0</v>
      </c>
      <c r="K296" s="468">
        <f>'по МК 56'!E47/1000</f>
        <v>1191.6519925499999</v>
      </c>
      <c r="L296" s="468">
        <v>0</v>
      </c>
      <c r="M296" s="561">
        <v>0</v>
      </c>
      <c r="N296" s="249"/>
      <c r="O296" s="250"/>
    </row>
    <row r="297" spans="2:15" ht="33" customHeight="1" x14ac:dyDescent="0.25">
      <c r="B297" s="492" t="str">
        <f>'по МК 56'!C48</f>
        <v>Капитальный ремонт автомобильных дорог города Орла на улицах частной жилой застройки: ул. Пойменная 1 этап</v>
      </c>
      <c r="C297" s="479"/>
      <c r="D297" s="465"/>
      <c r="E297" s="480"/>
      <c r="F297" s="490">
        <f t="shared" si="18"/>
        <v>1720</v>
      </c>
      <c r="G297" s="557">
        <v>0.43</v>
      </c>
      <c r="H297" s="465">
        <f t="shared" si="17"/>
        <v>0</v>
      </c>
      <c r="I297" s="468">
        <v>0</v>
      </c>
      <c r="J297" s="468">
        <v>0</v>
      </c>
      <c r="K297" s="468">
        <f>'перечень объектов'!C310</f>
        <v>0</v>
      </c>
      <c r="L297" s="468">
        <v>0</v>
      </c>
      <c r="M297" s="561">
        <v>0</v>
      </c>
      <c r="N297" s="249"/>
      <c r="O297" s="250"/>
    </row>
    <row r="298" spans="2:15" ht="33" x14ac:dyDescent="0.25">
      <c r="B298" s="492" t="str">
        <f>'по МК 56'!C50</f>
        <v>Капитальный ремонт автомобильных дорог города Орла на улицах частной жилой застройки: пер. Преображенского</v>
      </c>
      <c r="C298" s="479"/>
      <c r="D298" s="465"/>
      <c r="E298" s="480"/>
      <c r="F298" s="490">
        <f t="shared" si="18"/>
        <v>840</v>
      </c>
      <c r="G298" s="557">
        <v>0.21</v>
      </c>
      <c r="H298" s="465">
        <f t="shared" si="17"/>
        <v>1791.4238563500001</v>
      </c>
      <c r="I298" s="468">
        <v>0</v>
      </c>
      <c r="J298" s="468">
        <v>0</v>
      </c>
      <c r="K298" s="468">
        <f>'по МК 56'!E50/1000</f>
        <v>1791.4238563500001</v>
      </c>
      <c r="L298" s="468">
        <v>0</v>
      </c>
      <c r="M298" s="561">
        <v>0</v>
      </c>
      <c r="N298" s="249"/>
      <c r="O298" s="250"/>
    </row>
    <row r="299" spans="2:15" ht="33" x14ac:dyDescent="0.25">
      <c r="B299" s="492" t="str">
        <f>'по МК 56'!C51</f>
        <v>Капитальный ремонт автомобильных дорог города Орла на улицах частной жилой застройки: ул. Радужная</v>
      </c>
      <c r="C299" s="479"/>
      <c r="D299" s="465"/>
      <c r="E299" s="480"/>
      <c r="F299" s="490">
        <f t="shared" si="18"/>
        <v>2312</v>
      </c>
      <c r="G299" s="557">
        <f>'по МК 56'!D51/1000</f>
        <v>0.57799999999999996</v>
      </c>
      <c r="H299" s="465">
        <f t="shared" si="17"/>
        <v>4561.4228588999995</v>
      </c>
      <c r="I299" s="468">
        <v>0</v>
      </c>
      <c r="J299" s="468">
        <v>0</v>
      </c>
      <c r="K299" s="468">
        <f>'по МК 56'!E51/1000</f>
        <v>4561.4228588999995</v>
      </c>
      <c r="L299" s="468">
        <v>0</v>
      </c>
      <c r="M299" s="561">
        <v>0</v>
      </c>
      <c r="N299" s="249"/>
      <c r="O299" s="250"/>
    </row>
    <row r="300" spans="2:15" ht="33" x14ac:dyDescent="0.25">
      <c r="B300" s="492" t="str">
        <f>'по МК 56'!C52</f>
        <v>Капитальный ремонт автомобильных дорог города Орла на улицах частной жилой застройки: Равнинный пер.</v>
      </c>
      <c r="C300" s="479"/>
      <c r="D300" s="465"/>
      <c r="E300" s="480"/>
      <c r="F300" s="490">
        <f t="shared" si="18"/>
        <v>560</v>
      </c>
      <c r="G300" s="557">
        <v>0.14000000000000001</v>
      </c>
      <c r="H300" s="465">
        <f t="shared" si="17"/>
        <v>1365.2701636499999</v>
      </c>
      <c r="I300" s="468">
        <v>0</v>
      </c>
      <c r="J300" s="468">
        <v>0</v>
      </c>
      <c r="K300" s="468">
        <f>'по МК 56'!E52/1000</f>
        <v>1365.2701636499999</v>
      </c>
      <c r="L300" s="468">
        <v>0</v>
      </c>
      <c r="M300" s="561">
        <v>0</v>
      </c>
      <c r="N300" s="249"/>
      <c r="O300" s="250"/>
    </row>
    <row r="301" spans="2:15" ht="33" x14ac:dyDescent="0.25">
      <c r="B301" s="492" t="str">
        <f>'по МК 56'!C53</f>
        <v>Капитальный ремонт автомобильных дорог города Орла на улицах частной жилой застройки: пер. Скульптурный</v>
      </c>
      <c r="C301" s="479"/>
      <c r="D301" s="465"/>
      <c r="E301" s="480"/>
      <c r="F301" s="490">
        <f t="shared" si="18"/>
        <v>532</v>
      </c>
      <c r="G301" s="557">
        <f>'по МК 56'!D53/1000</f>
        <v>0.13300000000000001</v>
      </c>
      <c r="H301" s="465">
        <f t="shared" si="17"/>
        <v>1049.6007616500001</v>
      </c>
      <c r="I301" s="468">
        <v>0</v>
      </c>
      <c r="J301" s="468">
        <v>0</v>
      </c>
      <c r="K301" s="468">
        <f>'по МК 56'!E53/1000</f>
        <v>1049.6007616500001</v>
      </c>
      <c r="L301" s="468">
        <v>0</v>
      </c>
      <c r="M301" s="561">
        <v>0</v>
      </c>
      <c r="N301" s="249"/>
      <c r="O301" s="250"/>
    </row>
    <row r="302" spans="2:15" ht="33" x14ac:dyDescent="0.25">
      <c r="B302" s="492" t="str">
        <f>'по МК 56'!C54</f>
        <v>Капитальный ремонт автомобильных дорог города Орла на улицах частной жилой застройки: пер. Проходной</v>
      </c>
      <c r="C302" s="479"/>
      <c r="D302" s="465"/>
      <c r="E302" s="480"/>
      <c r="F302" s="490">
        <f t="shared" si="18"/>
        <v>492</v>
      </c>
      <c r="G302" s="557">
        <f>'по МК 56'!D54/1000</f>
        <v>0.123</v>
      </c>
      <c r="H302" s="465">
        <f t="shared" si="17"/>
        <v>970.68341114999998</v>
      </c>
      <c r="I302" s="468">
        <v>0</v>
      </c>
      <c r="J302" s="468">
        <v>0</v>
      </c>
      <c r="K302" s="468">
        <f>'по МК 56'!E54/1000</f>
        <v>970.68341114999998</v>
      </c>
      <c r="L302" s="468">
        <v>0</v>
      </c>
      <c r="M302" s="561">
        <v>0</v>
      </c>
      <c r="N302" s="249"/>
      <c r="O302" s="250"/>
    </row>
    <row r="303" spans="2:15" ht="33" x14ac:dyDescent="0.25">
      <c r="B303" s="492" t="str">
        <f>'по МК 56'!C55</f>
        <v>Капитальный ремонт автомобильных дорог города Орла на улицах частной жилой застройки: пер. Заливной</v>
      </c>
      <c r="C303" s="479"/>
      <c r="D303" s="465"/>
      <c r="E303" s="480"/>
      <c r="F303" s="490">
        <f t="shared" si="18"/>
        <v>560</v>
      </c>
      <c r="G303" s="557">
        <v>0.14000000000000001</v>
      </c>
      <c r="H303" s="465">
        <f t="shared" si="17"/>
        <v>1262.6776079999997</v>
      </c>
      <c r="I303" s="468">
        <v>0</v>
      </c>
      <c r="J303" s="468">
        <v>0</v>
      </c>
      <c r="K303" s="468">
        <f>'по МК 56'!E55/1000</f>
        <v>1262.6776079999997</v>
      </c>
      <c r="L303" s="468">
        <v>0</v>
      </c>
      <c r="M303" s="561">
        <v>0</v>
      </c>
      <c r="N303" s="249"/>
      <c r="O303" s="250"/>
    </row>
    <row r="304" spans="2:15" ht="33" x14ac:dyDescent="0.25">
      <c r="B304" s="492" t="str">
        <f>'по МК 56'!C56</f>
        <v>Капитальный ремонт автомобильных дорог города Орла на улицах частной жилой застройки: ул. Преображенского</v>
      </c>
      <c r="C304" s="479"/>
      <c r="D304" s="465"/>
      <c r="E304" s="480"/>
      <c r="F304" s="490">
        <f t="shared" si="18"/>
        <v>3916</v>
      </c>
      <c r="G304" s="557">
        <f>'по МК 56'!D56/1000</f>
        <v>0.97899999999999998</v>
      </c>
      <c r="H304" s="465">
        <f t="shared" si="17"/>
        <v>7726.0086339499985</v>
      </c>
      <c r="I304" s="468">
        <v>0</v>
      </c>
      <c r="J304" s="468">
        <v>0</v>
      </c>
      <c r="K304" s="468">
        <f>'по МК 56'!E56/1000</f>
        <v>7726.0086339499985</v>
      </c>
      <c r="L304" s="468">
        <v>0</v>
      </c>
      <c r="M304" s="561">
        <v>0</v>
      </c>
      <c r="N304" s="249"/>
      <c r="O304" s="250"/>
    </row>
    <row r="305" spans="2:15" ht="33" x14ac:dyDescent="0.25">
      <c r="B305" s="492" t="str">
        <f>'по МК 56'!C57</f>
        <v>Капитальный ремонт автомобильных дорог города Орла на улицах частной жилой застройки: пер. Донской</v>
      </c>
      <c r="C305" s="479"/>
      <c r="D305" s="465"/>
      <c r="E305" s="480"/>
      <c r="F305" s="490">
        <f t="shared" si="18"/>
        <v>1280</v>
      </c>
      <c r="G305" s="557">
        <v>0.32</v>
      </c>
      <c r="H305" s="465">
        <f t="shared" si="17"/>
        <v>5034.9269618999997</v>
      </c>
      <c r="I305" s="468">
        <v>0</v>
      </c>
      <c r="J305" s="468">
        <v>0</v>
      </c>
      <c r="K305" s="468">
        <f>'по МК 56'!E57/1000</f>
        <v>5034.9269618999997</v>
      </c>
      <c r="L305" s="468">
        <v>0</v>
      </c>
      <c r="M305" s="561">
        <v>0</v>
      </c>
      <c r="N305" s="249"/>
      <c r="O305" s="250"/>
    </row>
    <row r="306" spans="2:15" ht="33" x14ac:dyDescent="0.25">
      <c r="B306" s="492" t="str">
        <f>'по МК 56'!C58</f>
        <v>Капитальный ремонт автомобильных дорог города Орла на улицах частной жилой застройки: туп. Стеклянный</v>
      </c>
      <c r="C306" s="479"/>
      <c r="D306" s="465"/>
      <c r="E306" s="480"/>
      <c r="F306" s="490">
        <f t="shared" si="18"/>
        <v>560</v>
      </c>
      <c r="G306" s="557">
        <v>0.14000000000000001</v>
      </c>
      <c r="H306" s="465">
        <f t="shared" si="17"/>
        <v>1459.9709842499999</v>
      </c>
      <c r="I306" s="468">
        <v>0</v>
      </c>
      <c r="J306" s="468">
        <v>0</v>
      </c>
      <c r="K306" s="468">
        <f>'по МК 56'!E58/1000</f>
        <v>1459.9709842499999</v>
      </c>
      <c r="L306" s="468">
        <v>0</v>
      </c>
      <c r="M306" s="561">
        <v>0</v>
      </c>
      <c r="N306" s="249"/>
      <c r="O306" s="250"/>
    </row>
    <row r="307" spans="2:15" ht="33" x14ac:dyDescent="0.25">
      <c r="B307" s="492" t="str">
        <f>'по МК 56'!C59</f>
        <v>Капитальный ремонт автомобильных дорог города Орла на улицах частной жилой застройки: пер. Стеклянный</v>
      </c>
      <c r="C307" s="479"/>
      <c r="D307" s="465"/>
      <c r="E307" s="480"/>
      <c r="F307" s="490">
        <f t="shared" si="18"/>
        <v>420</v>
      </c>
      <c r="G307" s="557">
        <f>'по МК 56'!D59/1000</f>
        <v>0.105</v>
      </c>
      <c r="H307" s="465">
        <f t="shared" si="17"/>
        <v>828.63218024999981</v>
      </c>
      <c r="I307" s="468">
        <v>0</v>
      </c>
      <c r="J307" s="468">
        <v>0</v>
      </c>
      <c r="K307" s="468">
        <f>'по МК 56'!E59/1000</f>
        <v>828.63218024999981</v>
      </c>
      <c r="L307" s="468">
        <v>0</v>
      </c>
      <c r="M307" s="561">
        <v>0</v>
      </c>
      <c r="N307" s="249"/>
      <c r="O307" s="250"/>
    </row>
    <row r="308" spans="2:15" ht="33" x14ac:dyDescent="0.25">
      <c r="B308" s="492" t="str">
        <f>'по МК 56'!C60</f>
        <v>Капитальный ремонт автомобильных дорог города Орла на улицах частной жилой застройки: пер. Игрушечный</v>
      </c>
      <c r="C308" s="479"/>
      <c r="D308" s="465"/>
      <c r="E308" s="480"/>
      <c r="F308" s="490">
        <f t="shared" si="18"/>
        <v>1240</v>
      </c>
      <c r="G308" s="557">
        <v>0.31</v>
      </c>
      <c r="H308" s="465">
        <f t="shared" si="17"/>
        <v>2549.0304211499997</v>
      </c>
      <c r="I308" s="468">
        <v>0</v>
      </c>
      <c r="J308" s="468">
        <v>0</v>
      </c>
      <c r="K308" s="468">
        <f>'по МК 56'!E60/1000</f>
        <v>2549.0304211499997</v>
      </c>
      <c r="L308" s="468">
        <v>0</v>
      </c>
      <c r="M308" s="561">
        <v>0</v>
      </c>
      <c r="N308" s="249"/>
      <c r="O308" s="250"/>
    </row>
    <row r="309" spans="2:15" ht="33" x14ac:dyDescent="0.25">
      <c r="B309" s="492" t="str">
        <f>'по МК 56'!C61</f>
        <v>Капитальный ремонт автомобильных дорог города Орла на улицах частной жилой застройки: туп. Линейный</v>
      </c>
      <c r="C309" s="479"/>
      <c r="D309" s="465"/>
      <c r="E309" s="480"/>
      <c r="F309" s="490">
        <f t="shared" si="18"/>
        <v>800</v>
      </c>
      <c r="G309" s="557">
        <v>0.2</v>
      </c>
      <c r="H309" s="465">
        <f t="shared" si="17"/>
        <v>2391.1957201499999</v>
      </c>
      <c r="I309" s="468">
        <v>0</v>
      </c>
      <c r="J309" s="468">
        <v>0</v>
      </c>
      <c r="K309" s="468">
        <f>'по МК 56'!E61/1000</f>
        <v>2391.1957201499999</v>
      </c>
      <c r="L309" s="468">
        <v>0</v>
      </c>
      <c r="M309" s="561">
        <v>0</v>
      </c>
      <c r="N309" s="249"/>
      <c r="O309" s="250"/>
    </row>
    <row r="310" spans="2:15" ht="33" x14ac:dyDescent="0.25">
      <c r="B310" s="492" t="str">
        <f>'по МК 56'!C62</f>
        <v>Капитальный ремонт автомобильных дорог города Орла на улицах частной жилой застройки: ул. Чкалова</v>
      </c>
      <c r="C310" s="479"/>
      <c r="D310" s="465"/>
      <c r="E310" s="480"/>
      <c r="F310" s="490">
        <f t="shared" si="18"/>
        <v>6000</v>
      </c>
      <c r="G310" s="557">
        <f>'по МК 56'!D62/1000</f>
        <v>1.5</v>
      </c>
      <c r="H310" s="465">
        <f t="shared" si="17"/>
        <v>11837.602574999999</v>
      </c>
      <c r="I310" s="468">
        <v>0</v>
      </c>
      <c r="J310" s="468">
        <v>0</v>
      </c>
      <c r="K310" s="468">
        <f>'по МК 56'!E62/1000</f>
        <v>11837.602574999999</v>
      </c>
      <c r="L310" s="468">
        <v>0</v>
      </c>
      <c r="M310" s="561">
        <v>0</v>
      </c>
      <c r="N310" s="249"/>
      <c r="O310" s="250"/>
    </row>
    <row r="311" spans="2:15" ht="33" x14ac:dyDescent="0.25">
      <c r="B311" s="492" t="str">
        <f>'по МК 56'!C63</f>
        <v>Капитальный ремонт автомобильных дорог города Орла на улицах частной жилой застройки: ул. Станционная</v>
      </c>
      <c r="C311" s="479"/>
      <c r="D311" s="465"/>
      <c r="E311" s="480"/>
      <c r="F311" s="490">
        <f t="shared" si="18"/>
        <v>3508</v>
      </c>
      <c r="G311" s="557">
        <f>'по МК 56'!D63/1000</f>
        <v>0.877</v>
      </c>
      <c r="H311" s="465">
        <f t="shared" si="17"/>
        <v>6921.05163885</v>
      </c>
      <c r="I311" s="468">
        <v>0</v>
      </c>
      <c r="J311" s="468">
        <v>0</v>
      </c>
      <c r="K311" s="468">
        <f>'по МК 56'!E63/1000</f>
        <v>6921.05163885</v>
      </c>
      <c r="L311" s="468">
        <v>0</v>
      </c>
      <c r="M311" s="561">
        <v>0</v>
      </c>
      <c r="N311" s="249"/>
      <c r="O311" s="250"/>
    </row>
    <row r="312" spans="2:15" ht="33" x14ac:dyDescent="0.25">
      <c r="B312" s="492" t="str">
        <f>'по МК 56'!C64</f>
        <v>Капитальный ремонт автомобильных дорог города Орла на улицах частной жилой застройки: ул. Лесопильная</v>
      </c>
      <c r="C312" s="479"/>
      <c r="D312" s="465"/>
      <c r="E312" s="480"/>
      <c r="F312" s="490">
        <f t="shared" si="18"/>
        <v>4000</v>
      </c>
      <c r="G312" s="557">
        <f>'по МК 56'!D64/1000</f>
        <v>1</v>
      </c>
      <c r="H312" s="465">
        <f t="shared" si="17"/>
        <v>7891.7350500000002</v>
      </c>
      <c r="I312" s="468">
        <v>0</v>
      </c>
      <c r="J312" s="468">
        <v>0</v>
      </c>
      <c r="K312" s="468">
        <f>'по МК 56'!E64/1000</f>
        <v>7891.7350500000002</v>
      </c>
      <c r="L312" s="468">
        <v>0</v>
      </c>
      <c r="M312" s="561">
        <v>0</v>
      </c>
      <c r="N312" s="249"/>
      <c r="O312" s="250"/>
    </row>
    <row r="313" spans="2:15" ht="33" x14ac:dyDescent="0.25">
      <c r="B313" s="492" t="str">
        <f>'по МК 56'!C65</f>
        <v>Капитальный ремонт автомобильных дорог города Орла на улицах частной жилой застройки: ул. Деревообделочная</v>
      </c>
      <c r="C313" s="479"/>
      <c r="D313" s="465"/>
      <c r="E313" s="480"/>
      <c r="F313" s="490">
        <f t="shared" si="18"/>
        <v>4000</v>
      </c>
      <c r="G313" s="557">
        <f>'по МК 56'!D65/1000</f>
        <v>1</v>
      </c>
      <c r="H313" s="465">
        <f t="shared" ref="H313:H345" si="19">SUM(I313:M313)</f>
        <v>7891.7350500000002</v>
      </c>
      <c r="I313" s="468">
        <v>0</v>
      </c>
      <c r="J313" s="468">
        <v>0</v>
      </c>
      <c r="K313" s="468">
        <f>'по МК 56'!E65/1000</f>
        <v>7891.7350500000002</v>
      </c>
      <c r="L313" s="468">
        <v>0</v>
      </c>
      <c r="M313" s="561">
        <v>0</v>
      </c>
      <c r="N313" s="249"/>
      <c r="O313" s="250"/>
    </row>
    <row r="314" spans="2:15" ht="33" x14ac:dyDescent="0.25">
      <c r="B314" s="492" t="str">
        <f>'по МК 56'!C66</f>
        <v>Капитальный ремонт автомобильных дорог города Орла на улицах частной жилой застройки: ул. Шульгина 1 этап</v>
      </c>
      <c r="C314" s="479"/>
      <c r="D314" s="465"/>
      <c r="E314" s="480"/>
      <c r="F314" s="490">
        <f t="shared" si="18"/>
        <v>6380</v>
      </c>
      <c r="G314" s="557">
        <f>'по МК 56'!D66/1000+1.3</f>
        <v>1.595</v>
      </c>
      <c r="H314" s="465">
        <f t="shared" si="19"/>
        <v>0</v>
      </c>
      <c r="I314" s="468">
        <v>0</v>
      </c>
      <c r="J314" s="468">
        <v>0</v>
      </c>
      <c r="K314" s="468">
        <f>'перечень объектов'!C327</f>
        <v>0</v>
      </c>
      <c r="L314" s="468">
        <v>0</v>
      </c>
      <c r="M314" s="561">
        <v>0</v>
      </c>
      <c r="N314" s="249"/>
      <c r="O314" s="250"/>
    </row>
    <row r="315" spans="2:15" ht="33" x14ac:dyDescent="0.25">
      <c r="B315" s="492" t="str">
        <f>'по МК 56'!C68</f>
        <v>Капитальный ремонт автомобильных дорог города Орла на улицах частной жилой застройки: ул. Крестьянская</v>
      </c>
      <c r="C315" s="479"/>
      <c r="D315" s="465"/>
      <c r="E315" s="480"/>
      <c r="F315" s="490">
        <f t="shared" si="18"/>
        <v>148</v>
      </c>
      <c r="G315" s="557">
        <v>3.6999999999999998E-2</v>
      </c>
      <c r="H315" s="465">
        <f t="shared" si="19"/>
        <v>3724.8989435999997</v>
      </c>
      <c r="I315" s="468">
        <v>0</v>
      </c>
      <c r="J315" s="468">
        <v>0</v>
      </c>
      <c r="K315" s="468">
        <f>'по МК 56'!E68/1000</f>
        <v>3724.8989435999997</v>
      </c>
      <c r="L315" s="468">
        <v>0</v>
      </c>
      <c r="M315" s="561">
        <v>0</v>
      </c>
      <c r="N315" s="249"/>
      <c r="O315" s="250"/>
    </row>
    <row r="316" spans="2:15" ht="33" x14ac:dyDescent="0.25">
      <c r="B316" s="492" t="str">
        <f>'по МК 56'!C69</f>
        <v>Капитальный ремонт автомобильных дорог города Орла на улицах частной жилой застройки: пер. Смоленский</v>
      </c>
      <c r="C316" s="479"/>
      <c r="D316" s="465"/>
      <c r="E316" s="480"/>
      <c r="F316" s="490">
        <f t="shared" si="18"/>
        <v>1372</v>
      </c>
      <c r="G316" s="557">
        <v>0.34300000000000003</v>
      </c>
      <c r="H316" s="465">
        <f t="shared" si="19"/>
        <v>2706.8651221500004</v>
      </c>
      <c r="I316" s="468">
        <v>0</v>
      </c>
      <c r="J316" s="468">
        <v>0</v>
      </c>
      <c r="K316" s="468">
        <f>'по МК 56'!E69/1000</f>
        <v>2706.8651221500004</v>
      </c>
      <c r="L316" s="468">
        <v>0</v>
      </c>
      <c r="M316" s="561">
        <v>0</v>
      </c>
      <c r="N316" s="249"/>
      <c r="O316" s="250"/>
    </row>
    <row r="317" spans="2:15" ht="33" x14ac:dyDescent="0.25">
      <c r="B317" s="492" t="str">
        <f>'по МК 56'!C70</f>
        <v>Капитальный ремонт автомобильных дорог города Орла на улицах частной жилой застройки: ул. Текстильная</v>
      </c>
      <c r="C317" s="479"/>
      <c r="D317" s="465"/>
      <c r="E317" s="480"/>
      <c r="F317" s="490">
        <f t="shared" si="18"/>
        <v>1080</v>
      </c>
      <c r="G317" s="557">
        <v>0.27</v>
      </c>
      <c r="H317" s="465">
        <f t="shared" si="19"/>
        <v>3582.8477427000003</v>
      </c>
      <c r="I317" s="468">
        <v>0</v>
      </c>
      <c r="J317" s="468">
        <v>0</v>
      </c>
      <c r="K317" s="468">
        <f>'по МК 56'!E70/1000+0.00001</f>
        <v>3582.8477427000003</v>
      </c>
      <c r="L317" s="468">
        <v>0</v>
      </c>
      <c r="M317" s="561">
        <v>0</v>
      </c>
      <c r="N317" s="249"/>
      <c r="O317" s="250"/>
    </row>
    <row r="318" spans="2:15" ht="33" x14ac:dyDescent="0.25">
      <c r="B318" s="492" t="str">
        <f>'по МК 56'!C71</f>
        <v>Капитальный ремонт автомобильных дорог города Орла на улицах частной жилой застройки: ул. Лазо</v>
      </c>
      <c r="C318" s="479"/>
      <c r="D318" s="465"/>
      <c r="E318" s="480"/>
      <c r="F318" s="490">
        <f t="shared" si="18"/>
        <v>1312</v>
      </c>
      <c r="G318" s="557">
        <f>'по МК 56'!D71/1000</f>
        <v>0.32800000000000001</v>
      </c>
      <c r="H318" s="465">
        <f t="shared" si="19"/>
        <v>9379.69362</v>
      </c>
      <c r="I318" s="468">
        <v>0</v>
      </c>
      <c r="J318" s="468">
        <v>0</v>
      </c>
      <c r="K318" s="468">
        <f>'перечень объектов'!C331</f>
        <v>9379.69362</v>
      </c>
      <c r="L318" s="468">
        <v>0</v>
      </c>
      <c r="M318" s="561">
        <v>0</v>
      </c>
      <c r="N318" s="249"/>
      <c r="O318" s="250"/>
    </row>
    <row r="319" spans="2:15" x14ac:dyDescent="0.25">
      <c r="B319" s="492" t="str">
        <f>'перечень объектов'!B365</f>
        <v>ремонт пер. Новосильский</v>
      </c>
      <c r="C319" s="479"/>
      <c r="D319" s="465"/>
      <c r="E319" s="480"/>
      <c r="F319" s="490">
        <f t="shared" si="18"/>
        <v>880</v>
      </c>
      <c r="G319" s="557">
        <v>0.22</v>
      </c>
      <c r="H319" s="465">
        <f t="shared" si="19"/>
        <v>18500</v>
      </c>
      <c r="I319" s="468">
        <v>0</v>
      </c>
      <c r="J319" s="468">
        <v>0</v>
      </c>
      <c r="K319" s="468">
        <v>0</v>
      </c>
      <c r="L319" s="468">
        <f>'перечень объектов'!C365</f>
        <v>18500</v>
      </c>
      <c r="M319" s="561">
        <v>0</v>
      </c>
      <c r="N319" s="249"/>
      <c r="O319" s="250"/>
    </row>
    <row r="320" spans="2:15" x14ac:dyDescent="0.25">
      <c r="B320" s="492" t="str">
        <f>'перечень объектов'!B366</f>
        <v>ремонт ул. 3-я Курская;</v>
      </c>
      <c r="C320" s="479"/>
      <c r="D320" s="465"/>
      <c r="E320" s="480"/>
      <c r="F320" s="490">
        <f>G320*8*1000</f>
        <v>9744</v>
      </c>
      <c r="G320" s="557">
        <v>1.218</v>
      </c>
      <c r="H320" s="465">
        <f t="shared" si="19"/>
        <v>48900</v>
      </c>
      <c r="I320" s="468">
        <v>0</v>
      </c>
      <c r="J320" s="468">
        <v>0</v>
      </c>
      <c r="K320" s="468">
        <v>0</v>
      </c>
      <c r="L320" s="468">
        <f>'перечень объектов'!C366</f>
        <v>48900</v>
      </c>
      <c r="M320" s="561">
        <v>0</v>
      </c>
      <c r="N320" s="249"/>
      <c r="O320" s="250"/>
    </row>
    <row r="321" spans="2:15" x14ac:dyDescent="0.25">
      <c r="B321" s="492" t="str">
        <f>'перечень объектов'!B367</f>
        <v>капитальный ремонт ул. 1-ая Пушкарная;</v>
      </c>
      <c r="C321" s="479"/>
      <c r="D321" s="465"/>
      <c r="E321" s="480"/>
      <c r="F321" s="490">
        <f t="shared" ref="F321:F325" si="20">G321*4*1000</f>
        <v>5925.6</v>
      </c>
      <c r="G321" s="557">
        <v>1.4814000000000001</v>
      </c>
      <c r="H321" s="465">
        <f t="shared" si="19"/>
        <v>23500</v>
      </c>
      <c r="I321" s="468">
        <v>0</v>
      </c>
      <c r="J321" s="468">
        <v>0</v>
      </c>
      <c r="K321" s="468">
        <v>0</v>
      </c>
      <c r="L321" s="468">
        <f>'перечень объектов'!C367</f>
        <v>23500</v>
      </c>
      <c r="M321" s="561">
        <v>0</v>
      </c>
      <c r="N321" s="249"/>
      <c r="O321" s="250"/>
    </row>
    <row r="322" spans="2:15" x14ac:dyDescent="0.25">
      <c r="B322" s="492" t="str">
        <f>'перечень объектов'!B368</f>
        <v>капитальный ремонт ул. Энгельса (2 этап);</v>
      </c>
      <c r="C322" s="479"/>
      <c r="D322" s="465"/>
      <c r="E322" s="480"/>
      <c r="F322" s="490">
        <f t="shared" si="20"/>
        <v>2385.2000000000003</v>
      </c>
      <c r="G322" s="557">
        <v>0.59630000000000005</v>
      </c>
      <c r="H322" s="465">
        <f t="shared" si="19"/>
        <v>8500</v>
      </c>
      <c r="I322" s="468">
        <v>0</v>
      </c>
      <c r="J322" s="468">
        <v>0</v>
      </c>
      <c r="K322" s="468">
        <v>0</v>
      </c>
      <c r="L322" s="468">
        <f>'перечень объектов'!C368</f>
        <v>8500</v>
      </c>
      <c r="M322" s="561">
        <v>0</v>
      </c>
      <c r="N322" s="249"/>
      <c r="O322" s="250"/>
    </row>
    <row r="323" spans="2:15" x14ac:dyDescent="0.25">
      <c r="B323" s="492" t="str">
        <f>'перечень объектов'!B369</f>
        <v xml:space="preserve">Капитальный ремонт автомобильной дороги ул. Тамбовская </v>
      </c>
      <c r="C323" s="479"/>
      <c r="D323" s="465"/>
      <c r="E323" s="480"/>
      <c r="F323" s="490">
        <f t="shared" si="20"/>
        <v>3000</v>
      </c>
      <c r="G323" s="557">
        <v>0.75</v>
      </c>
      <c r="H323" s="465">
        <f t="shared" si="19"/>
        <v>22000</v>
      </c>
      <c r="I323" s="468">
        <v>0</v>
      </c>
      <c r="J323" s="468">
        <v>0</v>
      </c>
      <c r="K323" s="468">
        <v>0</v>
      </c>
      <c r="L323" s="468">
        <f>'перечень объектов'!C369</f>
        <v>22000</v>
      </c>
      <c r="M323" s="561">
        <v>0</v>
      </c>
      <c r="N323" s="249"/>
      <c r="O323" s="250"/>
    </row>
    <row r="324" spans="2:15" x14ac:dyDescent="0.25">
      <c r="B324" s="492" t="str">
        <f>'перечень объектов'!B370</f>
        <v xml:space="preserve">Капитальный ремонт автомобильной дороги ул. Солнцевская </v>
      </c>
      <c r="C324" s="479"/>
      <c r="D324" s="465"/>
      <c r="E324" s="480"/>
      <c r="F324" s="490">
        <f t="shared" si="20"/>
        <v>2840</v>
      </c>
      <c r="G324" s="557">
        <v>0.71</v>
      </c>
      <c r="H324" s="465">
        <f t="shared" si="19"/>
        <v>21000</v>
      </c>
      <c r="I324" s="468">
        <v>0</v>
      </c>
      <c r="J324" s="468">
        <v>0</v>
      </c>
      <c r="K324" s="468">
        <v>0</v>
      </c>
      <c r="L324" s="468">
        <f>'перечень объектов'!C370</f>
        <v>21000</v>
      </c>
      <c r="M324" s="561">
        <v>0</v>
      </c>
      <c r="N324" s="249"/>
      <c r="O324" s="250"/>
    </row>
    <row r="325" spans="2:15" x14ac:dyDescent="0.25">
      <c r="B325" s="492" t="str">
        <f>'перечень объектов'!B371</f>
        <v xml:space="preserve">Капитальный ремонт автомобильной дороги ул. Пархоменко </v>
      </c>
      <c r="C325" s="479"/>
      <c r="D325" s="465"/>
      <c r="E325" s="480"/>
      <c r="F325" s="490">
        <f t="shared" si="20"/>
        <v>6800</v>
      </c>
      <c r="G325" s="557">
        <v>1.7</v>
      </c>
      <c r="H325" s="465">
        <f t="shared" si="19"/>
        <v>35000</v>
      </c>
      <c r="I325" s="468">
        <v>0</v>
      </c>
      <c r="J325" s="468">
        <v>0</v>
      </c>
      <c r="K325" s="468">
        <v>0</v>
      </c>
      <c r="L325" s="468">
        <f>'перечень объектов'!C371</f>
        <v>35000</v>
      </c>
      <c r="M325" s="561">
        <v>0</v>
      </c>
      <c r="N325" s="249"/>
      <c r="O325" s="250"/>
    </row>
    <row r="326" spans="2:15" ht="49.5" x14ac:dyDescent="0.25">
      <c r="B326" s="492" t="str">
        <f>'перечень объектов'!B374</f>
        <v xml:space="preserve">Капитальный ремонт автомобильной дороги ул. Русанова на участке от пересечения с наб. Дубровинского до пересечения с ул. 1-я Курская </v>
      </c>
      <c r="C326" s="479"/>
      <c r="D326" s="465"/>
      <c r="E326" s="480"/>
      <c r="F326" s="490">
        <v>7520</v>
      </c>
      <c r="G326" s="482">
        <v>0.94</v>
      </c>
      <c r="H326" s="465">
        <f t="shared" si="19"/>
        <v>26320</v>
      </c>
      <c r="I326" s="468">
        <v>0</v>
      </c>
      <c r="J326" s="468">
        <v>0</v>
      </c>
      <c r="K326" s="465">
        <v>0</v>
      </c>
      <c r="L326" s="468">
        <f>'перечень объектов'!C374</f>
        <v>26320</v>
      </c>
      <c r="M326" s="561">
        <v>0</v>
      </c>
      <c r="N326" s="249"/>
      <c r="O326" s="250"/>
    </row>
    <row r="327" spans="2:15" x14ac:dyDescent="0.25">
      <c r="B327" s="492" t="str">
        <f>'перечень объектов'!B375</f>
        <v xml:space="preserve">Капитальный ремонт автомобильной дороги ул. Колхозная </v>
      </c>
      <c r="C327" s="479"/>
      <c r="D327" s="465"/>
      <c r="E327" s="480"/>
      <c r="F327" s="490">
        <f t="shared" ref="F327:F385" si="21">G327*4*1000</f>
        <v>6120</v>
      </c>
      <c r="G327" s="482">
        <v>1.53</v>
      </c>
      <c r="H327" s="465">
        <f t="shared" si="19"/>
        <v>50290.852019999998</v>
      </c>
      <c r="I327" s="468">
        <v>0</v>
      </c>
      <c r="J327" s="468">
        <v>0</v>
      </c>
      <c r="K327" s="465">
        <v>0</v>
      </c>
      <c r="L327" s="468">
        <f>'перечень объектов'!C375</f>
        <v>50290.852019999998</v>
      </c>
      <c r="M327" s="561">
        <v>0</v>
      </c>
      <c r="N327" s="249"/>
      <c r="O327" s="250"/>
    </row>
    <row r="328" spans="2:15" ht="33" x14ac:dyDescent="0.25">
      <c r="B328" s="492" t="str">
        <f>'по МК 56'!C74</f>
        <v>Капитальный ремонт автомобильных дорог города Орла на улицах частной жилой застройки: пер. Кировский</v>
      </c>
      <c r="C328" s="479"/>
      <c r="D328" s="465"/>
      <c r="E328" s="480"/>
      <c r="F328" s="490">
        <f t="shared" si="18"/>
        <v>1256</v>
      </c>
      <c r="G328" s="557">
        <f>'по МК 56'!D74/1000</f>
        <v>0.314</v>
      </c>
      <c r="H328" s="465">
        <f t="shared" si="19"/>
        <v>2545.46108</v>
      </c>
      <c r="I328" s="468">
        <v>0</v>
      </c>
      <c r="J328" s="468">
        <v>0</v>
      </c>
      <c r="K328" s="465">
        <v>0</v>
      </c>
      <c r="L328" s="468">
        <f>'перечень объектов'!C377</f>
        <v>2545.46108</v>
      </c>
      <c r="M328" s="561">
        <v>0</v>
      </c>
      <c r="N328" s="249"/>
      <c r="O328" s="250"/>
    </row>
    <row r="329" spans="2:15" ht="33" x14ac:dyDescent="0.25">
      <c r="B329" s="492" t="str">
        <f>'по МК 56'!C75</f>
        <v>Капитальный ремонт автомобильных дорог города Орла на улицах частной жилой застройки: ул. Контактная</v>
      </c>
      <c r="C329" s="479"/>
      <c r="D329" s="465"/>
      <c r="E329" s="480"/>
      <c r="F329" s="490">
        <f t="shared" si="21"/>
        <v>2152</v>
      </c>
      <c r="G329" s="557">
        <f>'по МК 56'!D75/1000</f>
        <v>0.53800000000000003</v>
      </c>
      <c r="H329" s="465">
        <f t="shared" si="19"/>
        <v>4245.7534599999999</v>
      </c>
      <c r="I329" s="468">
        <v>0</v>
      </c>
      <c r="J329" s="468">
        <v>0</v>
      </c>
      <c r="K329" s="465">
        <v>0</v>
      </c>
      <c r="L329" s="468">
        <f>'перечень объектов'!C378</f>
        <v>4245.7534599999999</v>
      </c>
      <c r="M329" s="561">
        <v>0</v>
      </c>
      <c r="N329" s="249"/>
      <c r="O329" s="250"/>
    </row>
    <row r="330" spans="2:15" ht="33" x14ac:dyDescent="0.25">
      <c r="B330" s="492" t="str">
        <f>'по МК 56'!C76</f>
        <v>Капитальный ремонт автомобильных дорог города Орла на улицах частной жилой застройки: пер. Тепловозный</v>
      </c>
      <c r="C330" s="479"/>
      <c r="D330" s="465"/>
      <c r="E330" s="480"/>
      <c r="F330" s="490">
        <f t="shared" si="21"/>
        <v>824</v>
      </c>
      <c r="G330" s="557">
        <f>'по МК 56'!D76/1000</f>
        <v>0.20599999999999999</v>
      </c>
      <c r="H330" s="465">
        <f t="shared" si="19"/>
        <v>1625.6974203</v>
      </c>
      <c r="I330" s="468">
        <v>0</v>
      </c>
      <c r="J330" s="468">
        <v>0</v>
      </c>
      <c r="K330" s="468">
        <v>0</v>
      </c>
      <c r="L330" s="465">
        <f>'по МК 56'!E76/1000</f>
        <v>1625.6974203</v>
      </c>
      <c r="M330" s="561">
        <v>0</v>
      </c>
      <c r="N330" s="249"/>
      <c r="O330" s="250"/>
    </row>
    <row r="331" spans="2:15" ht="33" x14ac:dyDescent="0.25">
      <c r="B331" s="492" t="str">
        <f>'по МК 56'!C77</f>
        <v>Капитальный ремонт автомобильных дорог города Орла на улицах частной жилой застройки: ул. Полтавская</v>
      </c>
      <c r="C331" s="479"/>
      <c r="D331" s="465"/>
      <c r="E331" s="480"/>
      <c r="F331" s="490">
        <f t="shared" si="21"/>
        <v>768</v>
      </c>
      <c r="G331" s="557">
        <f>'по МК 56'!D77/1000</f>
        <v>0.192</v>
      </c>
      <c r="H331" s="465">
        <f t="shared" si="19"/>
        <v>1515.2131295999998</v>
      </c>
      <c r="I331" s="468">
        <v>0</v>
      </c>
      <c r="J331" s="468">
        <v>0</v>
      </c>
      <c r="K331" s="468">
        <v>0</v>
      </c>
      <c r="L331" s="465">
        <f>'по МК 56'!E77/1000</f>
        <v>1515.2131295999998</v>
      </c>
      <c r="M331" s="561">
        <v>0</v>
      </c>
      <c r="N331" s="249"/>
      <c r="O331" s="250"/>
    </row>
    <row r="332" spans="2:15" ht="33" x14ac:dyDescent="0.25">
      <c r="B332" s="492" t="str">
        <f>'по МК 56'!C78</f>
        <v>Капитальный ремонт автомобильных дорог города Орла на улицах частной жилой застройки: ул. Андриабужная</v>
      </c>
      <c r="C332" s="479"/>
      <c r="D332" s="465"/>
      <c r="E332" s="480"/>
      <c r="F332" s="490">
        <f t="shared" si="21"/>
        <v>3540</v>
      </c>
      <c r="G332" s="557">
        <v>0.88500000000000001</v>
      </c>
      <c r="H332" s="465">
        <f t="shared" si="19"/>
        <v>13415.949584999998</v>
      </c>
      <c r="I332" s="468">
        <v>0</v>
      </c>
      <c r="J332" s="468">
        <v>0</v>
      </c>
      <c r="K332" s="468">
        <v>0</v>
      </c>
      <c r="L332" s="465">
        <f>'по МК 56'!E78/1000</f>
        <v>13415.949584999998</v>
      </c>
      <c r="M332" s="561">
        <v>0</v>
      </c>
      <c r="N332" s="249"/>
      <c r="O332" s="250"/>
    </row>
    <row r="333" spans="2:15" ht="33" x14ac:dyDescent="0.25">
      <c r="B333" s="492" t="str">
        <f>'по МК 56'!C79</f>
        <v>Капитальный ремонт автомобильных дорог города Орла на улицах частной жилой застройки: пер. Самарский</v>
      </c>
      <c r="C333" s="479"/>
      <c r="D333" s="465"/>
      <c r="E333" s="480"/>
      <c r="F333" s="490">
        <f t="shared" si="21"/>
        <v>736</v>
      </c>
      <c r="G333" s="557">
        <f>'по МК 56'!D79/1000</f>
        <v>0.184</v>
      </c>
      <c r="H333" s="465">
        <f t="shared" si="19"/>
        <v>1452.0792492</v>
      </c>
      <c r="I333" s="468">
        <v>0</v>
      </c>
      <c r="J333" s="468">
        <v>0</v>
      </c>
      <c r="K333" s="468">
        <v>0</v>
      </c>
      <c r="L333" s="465">
        <f>'по МК 56'!E79/1000</f>
        <v>1452.0792492</v>
      </c>
      <c r="M333" s="561">
        <v>0</v>
      </c>
      <c r="N333" s="249"/>
      <c r="O333" s="250"/>
    </row>
    <row r="334" spans="2:15" ht="33" x14ac:dyDescent="0.25">
      <c r="B334" s="492" t="str">
        <f>'по МК 56'!C80</f>
        <v>Капитальный ремонт автомобильных дорог города Орла на улицах частной жилой застройки: ул. Пришвина</v>
      </c>
      <c r="C334" s="479"/>
      <c r="D334" s="465"/>
      <c r="E334" s="480"/>
      <c r="F334" s="490">
        <f t="shared" si="21"/>
        <v>1428</v>
      </c>
      <c r="G334" s="557">
        <f>'по МК 56'!D80/1000</f>
        <v>0.35699999999999998</v>
      </c>
      <c r="H334" s="465">
        <f t="shared" si="19"/>
        <v>2817.3494128500001</v>
      </c>
      <c r="I334" s="468">
        <v>0</v>
      </c>
      <c r="J334" s="468">
        <v>0</v>
      </c>
      <c r="K334" s="468">
        <v>0</v>
      </c>
      <c r="L334" s="465">
        <f>'по МК 56'!E80/1000</f>
        <v>2817.3494128500001</v>
      </c>
      <c r="M334" s="561">
        <v>0</v>
      </c>
      <c r="N334" s="249"/>
      <c r="O334" s="250"/>
    </row>
    <row r="335" spans="2:15" ht="33" x14ac:dyDescent="0.25">
      <c r="B335" s="492" t="str">
        <f>'по МК 56'!C81</f>
        <v>Капитальный ремонт автомобильных дорог города Орла на улицах частной жилой застройки: ул. Электровозная</v>
      </c>
      <c r="C335" s="479"/>
      <c r="D335" s="465"/>
      <c r="E335" s="480"/>
      <c r="F335" s="490">
        <f t="shared" si="21"/>
        <v>3408</v>
      </c>
      <c r="G335" s="557">
        <f>'по МК 56'!D81/1000</f>
        <v>0.85199999999999998</v>
      </c>
      <c r="H335" s="465">
        <f t="shared" si="19"/>
        <v>6723.7582626000003</v>
      </c>
      <c r="I335" s="468">
        <v>0</v>
      </c>
      <c r="J335" s="468">
        <v>0</v>
      </c>
      <c r="K335" s="468">
        <v>0</v>
      </c>
      <c r="L335" s="465">
        <f>'по МК 56'!E81/1000</f>
        <v>6723.7582626000003</v>
      </c>
      <c r="M335" s="561">
        <v>0</v>
      </c>
      <c r="N335" s="249"/>
      <c r="O335" s="250"/>
    </row>
    <row r="336" spans="2:15" ht="33" x14ac:dyDescent="0.25">
      <c r="B336" s="492" t="str">
        <f>'по МК 56'!C82</f>
        <v>Капитальный ремонт автомобильных дорог города Орла на улицах частной жилой застройки: туп. Медведевский</v>
      </c>
      <c r="C336" s="479"/>
      <c r="D336" s="465"/>
      <c r="E336" s="480"/>
      <c r="F336" s="490">
        <f t="shared" si="21"/>
        <v>884</v>
      </c>
      <c r="G336" s="557">
        <f>'по МК 56'!D82/1000</f>
        <v>0.221</v>
      </c>
      <c r="H336" s="465">
        <f t="shared" si="19"/>
        <v>1744.0734260499999</v>
      </c>
      <c r="I336" s="468">
        <v>0</v>
      </c>
      <c r="J336" s="468">
        <v>0</v>
      </c>
      <c r="K336" s="468">
        <v>0</v>
      </c>
      <c r="L336" s="465">
        <f>'по МК 56'!E82/1000-0.00001</f>
        <v>1744.0734260499999</v>
      </c>
      <c r="M336" s="561">
        <v>0</v>
      </c>
      <c r="N336" s="249"/>
      <c r="O336" s="250"/>
    </row>
    <row r="337" spans="2:15" ht="33" x14ac:dyDescent="0.25">
      <c r="B337" s="492" t="str">
        <f>'по МК 56'!C83</f>
        <v>Капитальный ремонт автомобильных дорог города Орла на улицах частной жилой застройки: пер. Торцовый</v>
      </c>
      <c r="C337" s="479"/>
      <c r="D337" s="465"/>
      <c r="E337" s="480"/>
      <c r="F337" s="490">
        <f t="shared" si="21"/>
        <v>1180</v>
      </c>
      <c r="G337" s="557">
        <f>'по МК 56'!D83/1000</f>
        <v>0.29499999999999998</v>
      </c>
      <c r="H337" s="465">
        <f t="shared" si="19"/>
        <v>2328.0618397499998</v>
      </c>
      <c r="I337" s="468">
        <v>0</v>
      </c>
      <c r="J337" s="468">
        <v>0</v>
      </c>
      <c r="K337" s="468">
        <v>0</v>
      </c>
      <c r="L337" s="465">
        <f>'по МК 56'!E83/1000</f>
        <v>2328.0618397499998</v>
      </c>
      <c r="M337" s="561">
        <v>0</v>
      </c>
      <c r="N337" s="249"/>
      <c r="O337" s="250"/>
    </row>
    <row r="338" spans="2:15" ht="33" x14ac:dyDescent="0.25">
      <c r="B338" s="492" t="str">
        <f>'по МК 56'!C84</f>
        <v>Капитальный ремонт автомобильных дорог города Орла на улицах частной жилой застройки: пер. Шахматный</v>
      </c>
      <c r="C338" s="479"/>
      <c r="D338" s="465"/>
      <c r="E338" s="480"/>
      <c r="F338" s="490">
        <f t="shared" si="21"/>
        <v>920</v>
      </c>
      <c r="G338" s="557">
        <f>'по МК 56'!D84/1000</f>
        <v>0.23</v>
      </c>
      <c r="H338" s="465">
        <f t="shared" si="19"/>
        <v>1815.0990614999998</v>
      </c>
      <c r="I338" s="468">
        <v>0</v>
      </c>
      <c r="J338" s="468">
        <v>0</v>
      </c>
      <c r="K338" s="468">
        <v>0</v>
      </c>
      <c r="L338" s="465">
        <f>'по МК 56'!E84/1000</f>
        <v>1815.0990614999998</v>
      </c>
      <c r="M338" s="561">
        <v>0</v>
      </c>
      <c r="N338" s="249"/>
      <c r="O338" s="250"/>
    </row>
    <row r="339" spans="2:15" ht="33" x14ac:dyDescent="0.25">
      <c r="B339" s="492" t="str">
        <f>'по МК 56'!C85</f>
        <v>Капитальный ремонт автомобильных дорог города Орла на улицах частной жилой застройки: проезд Парковый</v>
      </c>
      <c r="C339" s="479"/>
      <c r="D339" s="465"/>
      <c r="E339" s="480"/>
      <c r="F339" s="490">
        <f t="shared" si="21"/>
        <v>1000</v>
      </c>
      <c r="G339" s="557">
        <f>'по МК 56'!D85/1000</f>
        <v>0.25</v>
      </c>
      <c r="H339" s="465">
        <f t="shared" si="19"/>
        <v>1972.9337625000001</v>
      </c>
      <c r="I339" s="468">
        <v>0</v>
      </c>
      <c r="J339" s="468">
        <v>0</v>
      </c>
      <c r="K339" s="468">
        <v>0</v>
      </c>
      <c r="L339" s="465">
        <f>'по МК 56'!E85/1000</f>
        <v>1972.9337625000001</v>
      </c>
      <c r="M339" s="561">
        <v>0</v>
      </c>
      <c r="N339" s="249"/>
      <c r="O339" s="250"/>
    </row>
    <row r="340" spans="2:15" ht="33" x14ac:dyDescent="0.25">
      <c r="B340" s="492" t="str">
        <f>'по МК 56'!C86</f>
        <v>Капитальный ремонт автомобильных дорог города Орла на улицах частной жилой застройки: пер. Прядильный</v>
      </c>
      <c r="C340" s="479"/>
      <c r="D340" s="465"/>
      <c r="E340" s="480"/>
      <c r="F340" s="490">
        <f t="shared" si="21"/>
        <v>776</v>
      </c>
      <c r="G340" s="557">
        <f>'по МК 56'!D86/1000</f>
        <v>0.19400000000000001</v>
      </c>
      <c r="H340" s="465">
        <f t="shared" si="19"/>
        <v>1530.9965996999999</v>
      </c>
      <c r="I340" s="468">
        <v>0</v>
      </c>
      <c r="J340" s="468">
        <v>0</v>
      </c>
      <c r="K340" s="468">
        <v>0</v>
      </c>
      <c r="L340" s="465">
        <f>'по МК 56'!E86/1000</f>
        <v>1530.9965996999999</v>
      </c>
      <c r="M340" s="561">
        <v>0</v>
      </c>
      <c r="N340" s="249"/>
      <c r="O340" s="250"/>
    </row>
    <row r="341" spans="2:15" ht="33" x14ac:dyDescent="0.25">
      <c r="B341" s="492" t="str">
        <f>'по МК 56'!C87</f>
        <v>Капитальный ремонт автомобильных дорог города Орла на улицах частной жилой застройки: пер. Локомотивный</v>
      </c>
      <c r="C341" s="479"/>
      <c r="D341" s="465"/>
      <c r="E341" s="480"/>
      <c r="F341" s="490">
        <f t="shared" si="21"/>
        <v>1212</v>
      </c>
      <c r="G341" s="557">
        <f>'по МК 56'!D87/1000</f>
        <v>0.30299999999999999</v>
      </c>
      <c r="H341" s="465">
        <f t="shared" si="19"/>
        <v>2391.1957201499999</v>
      </c>
      <c r="I341" s="468">
        <v>0</v>
      </c>
      <c r="J341" s="468">
        <v>0</v>
      </c>
      <c r="K341" s="468">
        <v>0</v>
      </c>
      <c r="L341" s="465">
        <f>'по МК 56'!E87/1000</f>
        <v>2391.1957201499999</v>
      </c>
      <c r="M341" s="561">
        <v>0</v>
      </c>
      <c r="N341" s="249"/>
      <c r="O341" s="250"/>
    </row>
    <row r="342" spans="2:15" ht="33" x14ac:dyDescent="0.25">
      <c r="B342" s="492" t="str">
        <f>'по МК 56'!C88</f>
        <v>Капитальный ремонт автомобильных дорог города Орла на улицах частной жилой застройки: пер. Вагонный</v>
      </c>
      <c r="C342" s="479"/>
      <c r="D342" s="465"/>
      <c r="E342" s="480"/>
      <c r="F342" s="490">
        <f t="shared" si="21"/>
        <v>716</v>
      </c>
      <c r="G342" s="557">
        <f>'по МК 56'!D88/1000</f>
        <v>0.17899999999999999</v>
      </c>
      <c r="H342" s="465">
        <f t="shared" si="19"/>
        <v>1412.6206039499998</v>
      </c>
      <c r="I342" s="468">
        <v>0</v>
      </c>
      <c r="J342" s="468">
        <v>0</v>
      </c>
      <c r="K342" s="468">
        <v>0</v>
      </c>
      <c r="L342" s="465">
        <f>'по МК 56'!E88/1000+0.00001</f>
        <v>1412.6206039499998</v>
      </c>
      <c r="M342" s="561">
        <v>0</v>
      </c>
      <c r="N342" s="249"/>
      <c r="O342" s="250"/>
    </row>
    <row r="343" spans="2:15" ht="33" x14ac:dyDescent="0.25">
      <c r="B343" s="492" t="str">
        <f>'по МК 56'!C89</f>
        <v>Капитальный ремонт автомобильных дорог города Орла на улицах частной жилой застройки: пер. Бригадный</v>
      </c>
      <c r="C343" s="479"/>
      <c r="D343" s="465"/>
      <c r="E343" s="480"/>
      <c r="F343" s="490">
        <f t="shared" si="21"/>
        <v>852</v>
      </c>
      <c r="G343" s="557">
        <f>'по МК 56'!D89/1000</f>
        <v>0.21299999999999999</v>
      </c>
      <c r="H343" s="465">
        <f t="shared" si="19"/>
        <v>1680.9395656500001</v>
      </c>
      <c r="I343" s="468">
        <v>0</v>
      </c>
      <c r="J343" s="468">
        <v>0</v>
      </c>
      <c r="K343" s="468">
        <v>0</v>
      </c>
      <c r="L343" s="465">
        <f>'по МК 56'!E89/1000</f>
        <v>1680.9395656500001</v>
      </c>
      <c r="M343" s="561">
        <v>0</v>
      </c>
      <c r="N343" s="249"/>
      <c r="O343" s="250"/>
    </row>
    <row r="344" spans="2:15" ht="33" x14ac:dyDescent="0.25">
      <c r="B344" s="492" t="str">
        <f>'по МК 56'!C90</f>
        <v>Капитальный ремонт автомобильных дорог города Орла на улицах частной жилой застройки: пер. Хлебный</v>
      </c>
      <c r="C344" s="479"/>
      <c r="D344" s="465"/>
      <c r="E344" s="480"/>
      <c r="F344" s="490">
        <f t="shared" si="21"/>
        <v>2008</v>
      </c>
      <c r="G344" s="557">
        <f>'по МК 56'!D90/1000</f>
        <v>0.502</v>
      </c>
      <c r="H344" s="465">
        <f t="shared" si="19"/>
        <v>3961.6509950999994</v>
      </c>
      <c r="I344" s="468">
        <v>0</v>
      </c>
      <c r="J344" s="468">
        <v>0</v>
      </c>
      <c r="K344" s="468">
        <v>0</v>
      </c>
      <c r="L344" s="465">
        <f>'по МК 56'!E90/1000</f>
        <v>3961.6509950999994</v>
      </c>
      <c r="M344" s="561">
        <v>0</v>
      </c>
      <c r="N344" s="249"/>
      <c r="O344" s="250"/>
    </row>
    <row r="345" spans="2:15" ht="33" x14ac:dyDescent="0.25">
      <c r="B345" s="492" t="str">
        <f>'по МК 56'!C91</f>
        <v>Капитальный ремонт автомобильных дорог города Орла на улицах частной жилой застройки: пер. Тупиковый</v>
      </c>
      <c r="C345" s="479"/>
      <c r="D345" s="465"/>
      <c r="E345" s="480"/>
      <c r="F345" s="490">
        <f t="shared" si="21"/>
        <v>704</v>
      </c>
      <c r="G345" s="557">
        <f>'по МК 56'!D91/1000</f>
        <v>0.17599999999999999</v>
      </c>
      <c r="H345" s="465">
        <f t="shared" si="19"/>
        <v>1388.9453688000001</v>
      </c>
      <c r="I345" s="468">
        <v>0</v>
      </c>
      <c r="J345" s="468">
        <v>0</v>
      </c>
      <c r="K345" s="468">
        <v>0</v>
      </c>
      <c r="L345" s="465">
        <f>'по МК 56'!E91/1000</f>
        <v>1388.9453688000001</v>
      </c>
      <c r="M345" s="561">
        <v>0</v>
      </c>
      <c r="N345" s="249"/>
      <c r="O345" s="250"/>
    </row>
    <row r="346" spans="2:15" ht="33" x14ac:dyDescent="0.25">
      <c r="B346" s="492" t="str">
        <f>'по МК 56'!C92</f>
        <v xml:space="preserve">Капитальный ремонт автомобильных дорог города Орла на улицах частной жилой застройки: ул. Медведева </v>
      </c>
      <c r="C346" s="479"/>
      <c r="D346" s="465"/>
      <c r="E346" s="480"/>
      <c r="F346" s="490">
        <f t="shared" si="21"/>
        <v>4412</v>
      </c>
      <c r="G346" s="557">
        <f>'по МК 56'!D92/1000</f>
        <v>1.103</v>
      </c>
      <c r="H346" s="465">
        <f t="shared" ref="H346:H351" si="22">SUM(I346:M346)</f>
        <v>8704.5837601499989</v>
      </c>
      <c r="I346" s="468">
        <v>0</v>
      </c>
      <c r="J346" s="468">
        <v>0</v>
      </c>
      <c r="K346" s="468">
        <v>0</v>
      </c>
      <c r="L346" s="465">
        <f>'по МК 56'!E92/1000</f>
        <v>8704.5837601499989</v>
      </c>
      <c r="M346" s="561">
        <v>0</v>
      </c>
      <c r="N346" s="249"/>
      <c r="O346" s="250"/>
    </row>
    <row r="347" spans="2:15" ht="33" x14ac:dyDescent="0.25">
      <c r="B347" s="492" t="str">
        <f>'по МК 56'!C94</f>
        <v>Капитальный ремонт автомобильных дорог города Орла на улицах частной жилой застройки: ул. Ново-Прядильная</v>
      </c>
      <c r="C347" s="479"/>
      <c r="D347" s="465"/>
      <c r="E347" s="480"/>
      <c r="F347" s="490">
        <f t="shared" si="21"/>
        <v>1896</v>
      </c>
      <c r="G347" s="557">
        <f>'по МК 56'!D94/1000</f>
        <v>0.47399999999999998</v>
      </c>
      <c r="H347" s="465">
        <f t="shared" si="22"/>
        <v>3740.6824136999999</v>
      </c>
      <c r="I347" s="468">
        <v>0</v>
      </c>
      <c r="J347" s="468">
        <v>0</v>
      </c>
      <c r="K347" s="468">
        <v>0</v>
      </c>
      <c r="L347" s="465">
        <f>'по МК 56'!E94/1000</f>
        <v>3740.6824136999999</v>
      </c>
      <c r="M347" s="561">
        <v>0</v>
      </c>
      <c r="N347" s="249"/>
      <c r="O347" s="250"/>
    </row>
    <row r="348" spans="2:15" ht="33" x14ac:dyDescent="0.25">
      <c r="B348" s="492" t="str">
        <f>'по МК 56'!C95</f>
        <v>Капитальный ремонт автомобильных дорог города Орла на улицах частной жилой застройки: пер. Пожарный</v>
      </c>
      <c r="C348" s="479"/>
      <c r="D348" s="465"/>
      <c r="E348" s="480"/>
      <c r="F348" s="490">
        <f t="shared" si="21"/>
        <v>872</v>
      </c>
      <c r="G348" s="557">
        <f>'по МК 56'!D95/1000</f>
        <v>0.218</v>
      </c>
      <c r="H348" s="465">
        <f t="shared" si="22"/>
        <v>1720.3982408999998</v>
      </c>
      <c r="I348" s="468">
        <v>0</v>
      </c>
      <c r="J348" s="468">
        <v>0</v>
      </c>
      <c r="K348" s="468">
        <v>0</v>
      </c>
      <c r="L348" s="465">
        <f>'по МК 56'!E95/1000</f>
        <v>1720.3982408999998</v>
      </c>
      <c r="M348" s="561">
        <v>0</v>
      </c>
      <c r="N348" s="249"/>
      <c r="O348" s="250"/>
    </row>
    <row r="349" spans="2:15" ht="33" x14ac:dyDescent="0.25">
      <c r="B349" s="492" t="str">
        <f>'по МК 56'!C96</f>
        <v>Капитальный ремонт автомобильных дорог города Орла на улицах частной жилой застройки: ул. Белинского</v>
      </c>
      <c r="C349" s="479"/>
      <c r="D349" s="465"/>
      <c r="E349" s="480"/>
      <c r="F349" s="490">
        <f t="shared" si="21"/>
        <v>2784</v>
      </c>
      <c r="G349" s="557">
        <f>'по МК 56'!D96/1000</f>
        <v>0.69599999999999995</v>
      </c>
      <c r="H349" s="465">
        <f t="shared" si="22"/>
        <v>5492.647624799999</v>
      </c>
      <c r="I349" s="468">
        <v>0</v>
      </c>
      <c r="J349" s="468">
        <v>0</v>
      </c>
      <c r="K349" s="468">
        <v>0</v>
      </c>
      <c r="L349" s="465">
        <f>'по МК 56'!E96/1000+0.00001</f>
        <v>5492.647624799999</v>
      </c>
      <c r="M349" s="561">
        <v>0</v>
      </c>
      <c r="N349" s="249"/>
      <c r="O349" s="250"/>
    </row>
    <row r="350" spans="2:15" ht="33" x14ac:dyDescent="0.25">
      <c r="B350" s="492" t="str">
        <f>'по МК 56'!C97</f>
        <v>Капитальный ремонт автомобильных дорог города Орла на улицах частной жилой застройки: пер. Культурный</v>
      </c>
      <c r="C350" s="479"/>
      <c r="D350" s="465"/>
      <c r="E350" s="480"/>
      <c r="F350" s="490">
        <f t="shared" si="21"/>
        <v>2924</v>
      </c>
      <c r="G350" s="557">
        <f>'по МК 56'!D97/1000</f>
        <v>0.73099999999999998</v>
      </c>
      <c r="H350" s="465">
        <f t="shared" si="22"/>
        <v>5768.8583215499993</v>
      </c>
      <c r="I350" s="468">
        <v>0</v>
      </c>
      <c r="J350" s="468">
        <v>0</v>
      </c>
      <c r="K350" s="468">
        <v>0</v>
      </c>
      <c r="L350" s="465">
        <f>'по МК 56'!E97/1000</f>
        <v>5768.8583215499993</v>
      </c>
      <c r="M350" s="561">
        <v>0</v>
      </c>
      <c r="N350" s="249"/>
      <c r="O350" s="250"/>
    </row>
    <row r="351" spans="2:15" ht="33" x14ac:dyDescent="0.25">
      <c r="B351" s="492" t="str">
        <f>'по МК 56'!C98</f>
        <v>Капитальный ремонт автомобильных дорог города Орла на улицах частной жилой застройки: ул.Заводская</v>
      </c>
      <c r="C351" s="479"/>
      <c r="D351" s="465"/>
      <c r="E351" s="480"/>
      <c r="F351" s="490">
        <f t="shared" si="21"/>
        <v>3036</v>
      </c>
      <c r="G351" s="557">
        <f>'по МК 56'!D98/1000</f>
        <v>0.75900000000000001</v>
      </c>
      <c r="H351" s="465">
        <f t="shared" si="22"/>
        <v>5989.8269029499997</v>
      </c>
      <c r="I351" s="468">
        <v>0</v>
      </c>
      <c r="J351" s="468">
        <v>0</v>
      </c>
      <c r="K351" s="468">
        <v>0</v>
      </c>
      <c r="L351" s="465">
        <f>'по МК 56'!E98/1000</f>
        <v>5989.8269029499997</v>
      </c>
      <c r="M351" s="561">
        <v>0</v>
      </c>
      <c r="N351" s="249"/>
      <c r="O351" s="250"/>
    </row>
    <row r="352" spans="2:15" ht="33" x14ac:dyDescent="0.25">
      <c r="B352" s="492" t="str">
        <f>'по МК 56'!C99</f>
        <v>Капитальный ремонт автомобильных дорог города Орла на улицах частной жилой застройки: ул. 1 Пушкарная</v>
      </c>
      <c r="C352" s="479"/>
      <c r="D352" s="465"/>
      <c r="E352" s="480"/>
      <c r="F352" s="490">
        <f t="shared" si="21"/>
        <v>6000</v>
      </c>
      <c r="G352" s="557">
        <f>'по МК 56'!D99/1000</f>
        <v>1.5</v>
      </c>
      <c r="H352" s="465">
        <f t="shared" ref="H352:H396" si="23">SUM(I352:M352)</f>
        <v>11837.602574999999</v>
      </c>
      <c r="I352" s="468">
        <v>0</v>
      </c>
      <c r="J352" s="468">
        <v>0</v>
      </c>
      <c r="K352" s="468">
        <v>0</v>
      </c>
      <c r="L352" s="465">
        <f>'по МК 56'!E99/1000</f>
        <v>11837.602574999999</v>
      </c>
      <c r="M352" s="561">
        <v>0</v>
      </c>
      <c r="N352" s="249"/>
      <c r="O352" s="250"/>
    </row>
    <row r="353" spans="2:15" ht="33" x14ac:dyDescent="0.25">
      <c r="B353" s="492" t="str">
        <f>'по МК 56'!C100</f>
        <v>Капитальный ремонт автомобильных дорог города Орла на улицах частной жилой застройки: ул. 2 Пушкарная</v>
      </c>
      <c r="C353" s="479"/>
      <c r="D353" s="465"/>
      <c r="E353" s="480"/>
      <c r="F353" s="490">
        <f t="shared" si="21"/>
        <v>4800</v>
      </c>
      <c r="G353" s="557">
        <f>'по МК 56'!D100/1000</f>
        <v>1.2</v>
      </c>
      <c r="H353" s="465">
        <f t="shared" si="23"/>
        <v>9470.0820600000006</v>
      </c>
      <c r="I353" s="468">
        <v>0</v>
      </c>
      <c r="J353" s="468">
        <v>0</v>
      </c>
      <c r="K353" s="468">
        <v>0</v>
      </c>
      <c r="L353" s="465">
        <f>'по МК 56'!E100/1000</f>
        <v>9470.0820600000006</v>
      </c>
      <c r="M353" s="561">
        <v>0</v>
      </c>
      <c r="N353" s="249"/>
      <c r="O353" s="250"/>
    </row>
    <row r="354" spans="2:15" ht="33" x14ac:dyDescent="0.25">
      <c r="B354" s="492" t="str">
        <f>'по МК 56'!C101</f>
        <v>Капитальный ремонт автомобильных дорог города Орла на улицах частной жилой застройки: ул. Зеленый Берег</v>
      </c>
      <c r="C354" s="479"/>
      <c r="D354" s="465"/>
      <c r="E354" s="480"/>
      <c r="F354" s="490">
        <f t="shared" si="21"/>
        <v>5600</v>
      </c>
      <c r="G354" s="557">
        <f>'по МК 56'!D101/1000</f>
        <v>1.4</v>
      </c>
      <c r="H354" s="465">
        <f t="shared" si="23"/>
        <v>11048.429069999998</v>
      </c>
      <c r="I354" s="468">
        <v>0</v>
      </c>
      <c r="J354" s="468">
        <v>0</v>
      </c>
      <c r="K354" s="468">
        <v>0</v>
      </c>
      <c r="L354" s="465">
        <f>'по МК 56'!E101/1000</f>
        <v>11048.429069999998</v>
      </c>
      <c r="M354" s="561">
        <v>0</v>
      </c>
      <c r="N354" s="249"/>
      <c r="O354" s="250"/>
    </row>
    <row r="355" spans="2:15" ht="33" x14ac:dyDescent="0.25">
      <c r="B355" s="492" t="str">
        <f>'по МК 56'!C102</f>
        <v>Капитальный ремонт автомобильных дорог города Орла на улицах частной жилой застройки: наб. Есенина</v>
      </c>
      <c r="C355" s="479"/>
      <c r="D355" s="465"/>
      <c r="E355" s="480"/>
      <c r="F355" s="490">
        <f t="shared" si="21"/>
        <v>3244</v>
      </c>
      <c r="G355" s="557">
        <f>'по МК 56'!D102/1000</f>
        <v>0.81100000000000005</v>
      </c>
      <c r="H355" s="465">
        <f t="shared" si="23"/>
        <v>6400.1971055500007</v>
      </c>
      <c r="I355" s="468">
        <v>0</v>
      </c>
      <c r="J355" s="468">
        <v>0</v>
      </c>
      <c r="K355" s="468">
        <v>0</v>
      </c>
      <c r="L355" s="465">
        <f>'по МК 56'!E102/1000</f>
        <v>6400.1971055500007</v>
      </c>
      <c r="M355" s="561">
        <v>0</v>
      </c>
      <c r="N355" s="249"/>
      <c r="O355" s="250"/>
    </row>
    <row r="356" spans="2:15" ht="33" x14ac:dyDescent="0.25">
      <c r="B356" s="492" t="str">
        <f>'по МК 56'!C103</f>
        <v>Капитальный ремонт автомобильных дорог города Орла на улицах частной жилой застройки: ул. Чапаева</v>
      </c>
      <c r="C356" s="479"/>
      <c r="D356" s="465"/>
      <c r="E356" s="480"/>
      <c r="F356" s="490">
        <f t="shared" si="21"/>
        <v>4400</v>
      </c>
      <c r="G356" s="557">
        <f>'по МК 56'!D103/1000</f>
        <v>1.1000000000000001</v>
      </c>
      <c r="H356" s="465">
        <f t="shared" si="23"/>
        <v>8680.908555</v>
      </c>
      <c r="I356" s="468">
        <v>0</v>
      </c>
      <c r="J356" s="468">
        <v>0</v>
      </c>
      <c r="K356" s="468">
        <v>0</v>
      </c>
      <c r="L356" s="465">
        <f>'по МК 56'!E103/1000</f>
        <v>8680.908555</v>
      </c>
      <c r="M356" s="561">
        <v>0</v>
      </c>
      <c r="N356" s="249"/>
      <c r="O356" s="250"/>
    </row>
    <row r="357" spans="2:15" ht="33" x14ac:dyDescent="0.25">
      <c r="B357" s="492" t="str">
        <f>'по МК 56'!C104</f>
        <v>Капитальный ремонт автомобильных дорог города Орла на улицах частной жилой застройки:ул. Садово-Пушкарная</v>
      </c>
      <c r="C357" s="479"/>
      <c r="D357" s="465"/>
      <c r="E357" s="480"/>
      <c r="F357" s="490">
        <f t="shared" si="21"/>
        <v>6000</v>
      </c>
      <c r="G357" s="557">
        <f>'по МК 56'!D104/1000</f>
        <v>1.5</v>
      </c>
      <c r="H357" s="465">
        <f t="shared" si="23"/>
        <v>17756.403862499996</v>
      </c>
      <c r="I357" s="468">
        <v>0</v>
      </c>
      <c r="J357" s="468">
        <v>0</v>
      </c>
      <c r="K357" s="468">
        <v>0</v>
      </c>
      <c r="L357" s="465">
        <f>'по МК 56'!E104/1000</f>
        <v>17756.403862499996</v>
      </c>
      <c r="M357" s="561">
        <v>0</v>
      </c>
      <c r="N357" s="249"/>
      <c r="O357" s="250"/>
    </row>
    <row r="358" spans="2:15" ht="33" x14ac:dyDescent="0.25">
      <c r="B358" s="492" t="str">
        <f>'по МК 56'!C105</f>
        <v>Капитальный ремонт автомобильных дорог города Орла на улицах частной жилой застройки: ул. Панчука</v>
      </c>
      <c r="C358" s="479"/>
      <c r="D358" s="465"/>
      <c r="E358" s="480"/>
      <c r="F358" s="490">
        <f t="shared" si="21"/>
        <v>5600</v>
      </c>
      <c r="G358" s="557">
        <f>'по МК 56'!D105/1000</f>
        <v>1.4</v>
      </c>
      <c r="H358" s="465">
        <f t="shared" si="23"/>
        <v>16572.643604999997</v>
      </c>
      <c r="I358" s="468">
        <v>0</v>
      </c>
      <c r="J358" s="468">
        <v>0</v>
      </c>
      <c r="K358" s="468">
        <v>0</v>
      </c>
      <c r="L358" s="465">
        <f>'по МК 56'!E105/1000</f>
        <v>16572.643604999997</v>
      </c>
      <c r="M358" s="561">
        <v>0</v>
      </c>
      <c r="N358" s="249"/>
      <c r="O358" s="250"/>
    </row>
    <row r="359" spans="2:15" ht="33" x14ac:dyDescent="0.25">
      <c r="B359" s="492" t="str">
        <f>'по МК 56'!C106</f>
        <v>Капитальный ремонт автомобильных дорог города Орла на улицах частной жилой застройки: ул. Достоевского</v>
      </c>
      <c r="C359" s="479"/>
      <c r="D359" s="465"/>
      <c r="E359" s="480"/>
      <c r="F359" s="490">
        <f t="shared" si="21"/>
        <v>6000</v>
      </c>
      <c r="G359" s="557">
        <f>'по МК 56'!D106/1000</f>
        <v>1.5</v>
      </c>
      <c r="H359" s="465">
        <f t="shared" si="23"/>
        <v>11837.602574999999</v>
      </c>
      <c r="I359" s="468">
        <v>0</v>
      </c>
      <c r="J359" s="468">
        <v>0</v>
      </c>
      <c r="K359" s="468">
        <v>0</v>
      </c>
      <c r="L359" s="465">
        <f>'по МК 56'!E106/1000</f>
        <v>11837.602574999999</v>
      </c>
      <c r="M359" s="561">
        <v>0</v>
      </c>
      <c r="N359" s="249"/>
      <c r="O359" s="250"/>
    </row>
    <row r="360" spans="2:15" ht="33" x14ac:dyDescent="0.25">
      <c r="B360" s="492" t="str">
        <f>'по МК 56'!C107</f>
        <v>Капитальный ремонт автомобильных дорог города Орла на улицах частной жилой застройки: ул. Циолковского</v>
      </c>
      <c r="C360" s="479"/>
      <c r="D360" s="465"/>
      <c r="E360" s="480"/>
      <c r="F360" s="490">
        <f t="shared" si="21"/>
        <v>4400</v>
      </c>
      <c r="G360" s="557">
        <f>'по МК 56'!D107/1000</f>
        <v>1.1000000000000001</v>
      </c>
      <c r="H360" s="465">
        <f t="shared" si="23"/>
        <v>8680.908555</v>
      </c>
      <c r="I360" s="468">
        <v>0</v>
      </c>
      <c r="J360" s="468">
        <v>0</v>
      </c>
      <c r="K360" s="468">
        <v>0</v>
      </c>
      <c r="L360" s="465">
        <f>'по МК 56'!E107/1000</f>
        <v>8680.908555</v>
      </c>
      <c r="M360" s="561">
        <v>0</v>
      </c>
      <c r="N360" s="249"/>
      <c r="O360" s="250"/>
    </row>
    <row r="361" spans="2:15" ht="33" x14ac:dyDescent="0.25">
      <c r="B361" s="492" t="str">
        <f>'по МК 56'!C108</f>
        <v>Капитальный ремонт автомобильных дорог города Орла на улицах частной жилой застройки: ул. Андреева</v>
      </c>
      <c r="C361" s="479"/>
      <c r="D361" s="465"/>
      <c r="E361" s="480"/>
      <c r="F361" s="490">
        <f t="shared" si="21"/>
        <v>2124</v>
      </c>
      <c r="G361" s="557">
        <f>'по МК 56'!D108/1000</f>
        <v>0.53100000000000003</v>
      </c>
      <c r="H361" s="465">
        <f t="shared" si="23"/>
        <v>6285.7669673250002</v>
      </c>
      <c r="I361" s="468">
        <v>0</v>
      </c>
      <c r="J361" s="468">
        <v>0</v>
      </c>
      <c r="K361" s="468">
        <v>0</v>
      </c>
      <c r="L361" s="465">
        <f>'по МК 56'!E108/1000</f>
        <v>6285.7669673250002</v>
      </c>
      <c r="M361" s="561">
        <v>0</v>
      </c>
      <c r="N361" s="249"/>
      <c r="O361" s="250"/>
    </row>
    <row r="362" spans="2:15" ht="33" x14ac:dyDescent="0.25">
      <c r="B362" s="492" t="str">
        <f>'по МК 56'!C109</f>
        <v>Капитальный ремонт автомобильных дорог города Орла на улицах частной жилой застройки: ул. Спивака</v>
      </c>
      <c r="C362" s="479"/>
      <c r="D362" s="465"/>
      <c r="E362" s="480"/>
      <c r="F362" s="490">
        <f t="shared" si="21"/>
        <v>5600</v>
      </c>
      <c r="G362" s="557">
        <f>'по МК 56'!D109/1000</f>
        <v>1.4</v>
      </c>
      <c r="H362" s="465">
        <f t="shared" si="23"/>
        <v>16572.643604999997</v>
      </c>
      <c r="I362" s="468">
        <v>0</v>
      </c>
      <c r="J362" s="468">
        <v>0</v>
      </c>
      <c r="K362" s="468">
        <v>0</v>
      </c>
      <c r="L362" s="465">
        <f>'по МК 56'!E109/1000</f>
        <v>16572.643604999997</v>
      </c>
      <c r="M362" s="561">
        <v>0</v>
      </c>
      <c r="N362" s="249"/>
      <c r="O362" s="250"/>
    </row>
    <row r="363" spans="2:15" ht="33" x14ac:dyDescent="0.25">
      <c r="B363" s="492" t="str">
        <f>'по МК 56'!C110</f>
        <v>Капитальный ремонт автомобильных дорог города Орла на улицах частной жилой застройки: ул. Чайкиной</v>
      </c>
      <c r="C363" s="479"/>
      <c r="D363" s="465"/>
      <c r="E363" s="480"/>
      <c r="F363" s="490">
        <f t="shared" si="21"/>
        <v>1432</v>
      </c>
      <c r="G363" s="557">
        <f>'по МК 56'!D110/1000</f>
        <v>0.35799999999999998</v>
      </c>
      <c r="H363" s="465">
        <f t="shared" si="23"/>
        <v>2825.2411478999998</v>
      </c>
      <c r="I363" s="468">
        <v>0</v>
      </c>
      <c r="J363" s="468">
        <v>0</v>
      </c>
      <c r="K363" s="468">
        <v>0</v>
      </c>
      <c r="L363" s="465">
        <f>'по МК 56'!E110/1000</f>
        <v>2825.2411478999998</v>
      </c>
      <c r="M363" s="561">
        <v>0</v>
      </c>
      <c r="N363" s="249"/>
      <c r="O363" s="250"/>
    </row>
    <row r="364" spans="2:15" ht="33" x14ac:dyDescent="0.25">
      <c r="B364" s="492" t="str">
        <f>'по МК 56'!C111</f>
        <v>Капитальный ремонт автомобильных дорог города Орла на улицах частной жилой застройки: ул. Земнухова</v>
      </c>
      <c r="C364" s="479"/>
      <c r="D364" s="465"/>
      <c r="E364" s="480"/>
      <c r="F364" s="490">
        <f t="shared" si="21"/>
        <v>1464</v>
      </c>
      <c r="G364" s="557">
        <f>'по МК 56'!D111/1000</f>
        <v>0.36599999999999999</v>
      </c>
      <c r="H364" s="465">
        <f t="shared" si="23"/>
        <v>2888.3750282999999</v>
      </c>
      <c r="I364" s="468">
        <v>0</v>
      </c>
      <c r="J364" s="468">
        <v>0</v>
      </c>
      <c r="K364" s="468">
        <v>0</v>
      </c>
      <c r="L364" s="465">
        <f>'по МК 56'!E111/1000</f>
        <v>2888.3750282999999</v>
      </c>
      <c r="M364" s="561">
        <v>0</v>
      </c>
      <c r="N364" s="249"/>
      <c r="O364" s="250"/>
    </row>
    <row r="365" spans="2:15" ht="33" x14ac:dyDescent="0.25">
      <c r="B365" s="492" t="str">
        <f>'по МК 56'!C112</f>
        <v>Капитальный ремонт автомобильных дорог города Орла на улицах частной жилой застройки: ул. Кошевого</v>
      </c>
      <c r="C365" s="479"/>
      <c r="D365" s="465"/>
      <c r="E365" s="480"/>
      <c r="F365" s="490">
        <f t="shared" si="21"/>
        <v>1480</v>
      </c>
      <c r="G365" s="557">
        <f>'по МК 56'!D112/1000</f>
        <v>0.37</v>
      </c>
      <c r="H365" s="465">
        <f t="shared" si="23"/>
        <v>2919.9419684999998</v>
      </c>
      <c r="I365" s="468">
        <v>0</v>
      </c>
      <c r="J365" s="468">
        <v>0</v>
      </c>
      <c r="K365" s="468">
        <v>0</v>
      </c>
      <c r="L365" s="465">
        <f>'по МК 56'!E112/1000</f>
        <v>2919.9419684999998</v>
      </c>
      <c r="M365" s="561">
        <v>0</v>
      </c>
      <c r="N365" s="249"/>
      <c r="O365" s="250"/>
    </row>
    <row r="366" spans="2:15" ht="33" x14ac:dyDescent="0.25">
      <c r="B366" s="492" t="str">
        <f>'по МК 56'!C113</f>
        <v>Капитальный ремонт автомобильных дорог города Орла на улицах частной жилой застройки: ул. Тюленина</v>
      </c>
      <c r="C366" s="479"/>
      <c r="D366" s="465"/>
      <c r="E366" s="480"/>
      <c r="F366" s="490">
        <f t="shared" si="21"/>
        <v>1844</v>
      </c>
      <c r="G366" s="557">
        <f>'по МК 56'!D113/1000</f>
        <v>0.46100000000000002</v>
      </c>
      <c r="H366" s="465">
        <f t="shared" si="23"/>
        <v>3638.0898580499997</v>
      </c>
      <c r="I366" s="468">
        <v>0</v>
      </c>
      <c r="J366" s="468">
        <v>0</v>
      </c>
      <c r="K366" s="468">
        <v>0</v>
      </c>
      <c r="L366" s="465">
        <f>'по МК 56'!E113/1000</f>
        <v>3638.0898580499997</v>
      </c>
      <c r="M366" s="561">
        <v>0</v>
      </c>
      <c r="N366" s="249"/>
      <c r="O366" s="250"/>
    </row>
    <row r="367" spans="2:15" ht="33" x14ac:dyDescent="0.25">
      <c r="B367" s="492" t="str">
        <f>'по МК 56'!C114</f>
        <v>Капитальный ремонт автомобильных дорог города Орла на улицах частной жилой застройки: ул. Громовой</v>
      </c>
      <c r="C367" s="479"/>
      <c r="D367" s="465"/>
      <c r="E367" s="480"/>
      <c r="F367" s="490">
        <f t="shared" si="21"/>
        <v>1152</v>
      </c>
      <c r="G367" s="557">
        <f>'по МК 56'!D114/1000</f>
        <v>0.28799999999999998</v>
      </c>
      <c r="H367" s="465">
        <f t="shared" si="23"/>
        <v>2272.8197144000001</v>
      </c>
      <c r="I367" s="468">
        <v>0</v>
      </c>
      <c r="J367" s="468">
        <v>0</v>
      </c>
      <c r="K367" s="468">
        <v>0</v>
      </c>
      <c r="L367" s="465">
        <f>'по МК 56'!E114/1000</f>
        <v>2272.8197144000001</v>
      </c>
      <c r="M367" s="561">
        <v>0</v>
      </c>
      <c r="N367" s="249"/>
      <c r="O367" s="250"/>
    </row>
    <row r="368" spans="2:15" ht="33" x14ac:dyDescent="0.25">
      <c r="B368" s="492" t="str">
        <f>'по МК 56'!C115</f>
        <v>Капитальный ремонт автомобильных дорог города Орла на улицах частной жилой застройки: пер. Шевцовой</v>
      </c>
      <c r="C368" s="479"/>
      <c r="D368" s="465"/>
      <c r="E368" s="480"/>
      <c r="F368" s="490">
        <f t="shared" si="21"/>
        <v>1372</v>
      </c>
      <c r="G368" s="557">
        <f>'по МК 56'!D115/1000</f>
        <v>0.34300000000000003</v>
      </c>
      <c r="H368" s="465">
        <f t="shared" si="23"/>
        <v>2706.8651221500004</v>
      </c>
      <c r="I368" s="468">
        <v>0</v>
      </c>
      <c r="J368" s="468">
        <v>0</v>
      </c>
      <c r="K368" s="468">
        <v>0</v>
      </c>
      <c r="L368" s="465">
        <f>'по МК 56'!E115/1000</f>
        <v>2706.8651221500004</v>
      </c>
      <c r="M368" s="561">
        <v>0</v>
      </c>
      <c r="N368" s="249"/>
      <c r="O368" s="250"/>
    </row>
    <row r="369" spans="2:15" ht="33" x14ac:dyDescent="0.25">
      <c r="B369" s="492" t="str">
        <f>'по МК 56'!C116</f>
        <v xml:space="preserve">Капитальный ремонт автомобильных дорог города Орла на улицах частной жилой застройки: ул. Островского </v>
      </c>
      <c r="C369" s="479"/>
      <c r="D369" s="465"/>
      <c r="E369" s="480"/>
      <c r="F369" s="490">
        <f t="shared" si="21"/>
        <v>3320</v>
      </c>
      <c r="G369" s="557">
        <f>'по МК 56'!D116/1000</f>
        <v>0.83</v>
      </c>
      <c r="H369" s="465">
        <f t="shared" si="23"/>
        <v>6550.1400914999995</v>
      </c>
      <c r="I369" s="468">
        <v>0</v>
      </c>
      <c r="J369" s="468">
        <v>0</v>
      </c>
      <c r="K369" s="468">
        <v>0</v>
      </c>
      <c r="L369" s="465">
        <f>'по МК 56'!E116/1000</f>
        <v>6550.1400914999995</v>
      </c>
      <c r="M369" s="561">
        <v>0</v>
      </c>
      <c r="N369" s="249"/>
      <c r="O369" s="250"/>
    </row>
    <row r="370" spans="2:15" ht="33" x14ac:dyDescent="0.25">
      <c r="B370" s="492" t="str">
        <f>'по МК 56'!C117</f>
        <v>Капитальный ремонт автомобильных дорог города Орла на улицах частной жилой застройки: ул. Моховая</v>
      </c>
      <c r="C370" s="479"/>
      <c r="D370" s="465"/>
      <c r="E370" s="480"/>
      <c r="F370" s="490">
        <f t="shared" si="21"/>
        <v>3312</v>
      </c>
      <c r="G370" s="557">
        <f>'по МК 56'!D117/1000</f>
        <v>0.82799999999999996</v>
      </c>
      <c r="H370" s="465">
        <f t="shared" si="23"/>
        <v>6534.3566413999988</v>
      </c>
      <c r="I370" s="468">
        <v>0</v>
      </c>
      <c r="J370" s="468">
        <v>0</v>
      </c>
      <c r="K370" s="468">
        <v>0</v>
      </c>
      <c r="L370" s="465">
        <f>'по МК 56'!E117/1000</f>
        <v>6534.3566413999988</v>
      </c>
      <c r="M370" s="561">
        <v>0</v>
      </c>
      <c r="N370" s="249"/>
      <c r="O370" s="250"/>
    </row>
    <row r="371" spans="2:15" ht="33" x14ac:dyDescent="0.25">
      <c r="B371" s="492" t="str">
        <f>'по МК 56'!C118</f>
        <v>Капитальный ремонт автомобильных дорог города Орла на улицах частной жилой застройки: ул. Калужская</v>
      </c>
      <c r="C371" s="479"/>
      <c r="D371" s="465"/>
      <c r="E371" s="480"/>
      <c r="F371" s="490">
        <f t="shared" si="21"/>
        <v>4400</v>
      </c>
      <c r="G371" s="557">
        <f>'по МК 56'!D118/1000</f>
        <v>1.1000000000000001</v>
      </c>
      <c r="H371" s="465">
        <f t="shared" si="23"/>
        <v>8680.908555</v>
      </c>
      <c r="I371" s="468">
        <v>0</v>
      </c>
      <c r="J371" s="468">
        <v>0</v>
      </c>
      <c r="K371" s="468">
        <v>0</v>
      </c>
      <c r="L371" s="465">
        <f>'по МК 56'!E118/1000</f>
        <v>8680.908555</v>
      </c>
      <c r="M371" s="561">
        <v>0</v>
      </c>
      <c r="N371" s="249"/>
      <c r="O371" s="250"/>
    </row>
    <row r="372" spans="2:15" ht="33" x14ac:dyDescent="0.25">
      <c r="B372" s="492" t="str">
        <f>'по МК 56'!C119</f>
        <v>Капитальный ремонт автомобильных дорог города Орла на улицах частной жилой застройки: ул. Восточная</v>
      </c>
      <c r="C372" s="479"/>
      <c r="D372" s="465"/>
      <c r="E372" s="480"/>
      <c r="F372" s="490">
        <f t="shared" si="21"/>
        <v>3304</v>
      </c>
      <c r="G372" s="557">
        <f>'по МК 56'!D119/1000</f>
        <v>0.82599999999999996</v>
      </c>
      <c r="H372" s="465">
        <f t="shared" si="23"/>
        <v>6518.5731513000001</v>
      </c>
      <c r="I372" s="468">
        <v>0</v>
      </c>
      <c r="J372" s="468">
        <v>0</v>
      </c>
      <c r="K372" s="468">
        <v>0</v>
      </c>
      <c r="L372" s="465">
        <f>'по МК 56'!E119/1000</f>
        <v>6518.5731513000001</v>
      </c>
      <c r="M372" s="561">
        <v>0</v>
      </c>
      <c r="N372" s="249"/>
      <c r="O372" s="250"/>
    </row>
    <row r="373" spans="2:15" ht="33" x14ac:dyDescent="0.25">
      <c r="B373" s="492" t="str">
        <f>'по МК 56'!C120</f>
        <v>Капитальный ремонт автомобильных дорог города Орла на улицах частной жилой застройки: ул. Ольховецкая</v>
      </c>
      <c r="C373" s="479"/>
      <c r="D373" s="465"/>
      <c r="E373" s="480"/>
      <c r="F373" s="490">
        <f t="shared" si="21"/>
        <v>2620</v>
      </c>
      <c r="G373" s="557">
        <f>'по МК 56'!D120/1000</f>
        <v>0.65500000000000003</v>
      </c>
      <c r="H373" s="465">
        <f t="shared" si="23"/>
        <v>5169.0864177499989</v>
      </c>
      <c r="I373" s="468">
        <v>0</v>
      </c>
      <c r="J373" s="468">
        <v>0</v>
      </c>
      <c r="K373" s="468">
        <v>0</v>
      </c>
      <c r="L373" s="465">
        <f>'по МК 56'!E120/1000-0.00002</f>
        <v>5169.0864177499989</v>
      </c>
      <c r="M373" s="561">
        <v>0</v>
      </c>
      <c r="N373" s="249"/>
      <c r="O373" s="250"/>
    </row>
    <row r="374" spans="2:15" ht="33" x14ac:dyDescent="0.25">
      <c r="B374" s="492" t="str">
        <f>'по МК 56'!C121</f>
        <v>Капитальный ремонт автомобильных дорог города Орла на улицах частной жилой застройки: ул. Краснозоренская</v>
      </c>
      <c r="C374" s="479"/>
      <c r="D374" s="465"/>
      <c r="E374" s="480"/>
      <c r="F374" s="490">
        <f t="shared" si="21"/>
        <v>3412</v>
      </c>
      <c r="G374" s="557">
        <f>'по МК 56'!D121/1000</f>
        <v>0.85299999999999998</v>
      </c>
      <c r="H374" s="465">
        <f t="shared" si="23"/>
        <v>6731.649997649999</v>
      </c>
      <c r="I374" s="468">
        <v>0</v>
      </c>
      <c r="J374" s="468">
        <v>0</v>
      </c>
      <c r="K374" s="468">
        <v>0</v>
      </c>
      <c r="L374" s="465">
        <f>'по МК 56'!E121/1000</f>
        <v>6731.649997649999</v>
      </c>
      <c r="M374" s="561">
        <v>0</v>
      </c>
      <c r="N374" s="249"/>
      <c r="O374" s="250"/>
    </row>
    <row r="375" spans="2:15" ht="33" x14ac:dyDescent="0.25">
      <c r="B375" s="492" t="str">
        <f>'по МК 56'!C122</f>
        <v>Капитальный ремонт автомобильных дорог города Орла на улицах частной жилой застройки: ул. Придорожная</v>
      </c>
      <c r="C375" s="479"/>
      <c r="D375" s="465"/>
      <c r="E375" s="480"/>
      <c r="F375" s="490">
        <f t="shared" si="21"/>
        <v>1300</v>
      </c>
      <c r="G375" s="557">
        <f>'по МК 56'!D122/1000</f>
        <v>0.32500000000000001</v>
      </c>
      <c r="H375" s="465">
        <f t="shared" si="23"/>
        <v>2564.8138912499999</v>
      </c>
      <c r="I375" s="468">
        <v>0</v>
      </c>
      <c r="J375" s="468">
        <v>0</v>
      </c>
      <c r="K375" s="468">
        <v>0</v>
      </c>
      <c r="L375" s="465">
        <f>'по МК 56'!E122/1000</f>
        <v>2564.8138912499999</v>
      </c>
      <c r="M375" s="561">
        <v>0</v>
      </c>
      <c r="N375" s="249"/>
      <c r="O375" s="250"/>
    </row>
    <row r="376" spans="2:15" ht="33" x14ac:dyDescent="0.25">
      <c r="B376" s="492" t="str">
        <f>'по МК 56'!C123</f>
        <v>Капитальный ремонт автомобильных дорог города Орла на улицах частной жилой застройки: пер. Лебединый</v>
      </c>
      <c r="C376" s="479"/>
      <c r="D376" s="465"/>
      <c r="E376" s="480"/>
      <c r="F376" s="490">
        <f t="shared" si="21"/>
        <v>428</v>
      </c>
      <c r="G376" s="557">
        <f>'по МК 56'!D123/1000</f>
        <v>0.107</v>
      </c>
      <c r="H376" s="465">
        <f t="shared" si="23"/>
        <v>844.41565034999985</v>
      </c>
      <c r="I376" s="468">
        <v>0</v>
      </c>
      <c r="J376" s="468">
        <v>0</v>
      </c>
      <c r="K376" s="468">
        <v>0</v>
      </c>
      <c r="L376" s="465">
        <f>'по МК 56'!E123/1000</f>
        <v>844.41565034999985</v>
      </c>
      <c r="M376" s="561">
        <v>0</v>
      </c>
      <c r="N376" s="249"/>
      <c r="O376" s="250"/>
    </row>
    <row r="377" spans="2:15" ht="33" x14ac:dyDescent="0.25">
      <c r="B377" s="492" t="str">
        <f>'по МК 56'!C124</f>
        <v>Капитальный ремонт автомобильных дорог города Орла на улицах частной жилой застройки: ул. Мебельная</v>
      </c>
      <c r="C377" s="479"/>
      <c r="D377" s="465"/>
      <c r="E377" s="480"/>
      <c r="F377" s="490">
        <f t="shared" si="21"/>
        <v>884</v>
      </c>
      <c r="G377" s="557">
        <f>'по МК 56'!D124/1000</f>
        <v>0.221</v>
      </c>
      <c r="H377" s="465">
        <f t="shared" si="23"/>
        <v>1744.0734360499998</v>
      </c>
      <c r="I377" s="468">
        <v>0</v>
      </c>
      <c r="J377" s="468">
        <v>0</v>
      </c>
      <c r="K377" s="468">
        <v>0</v>
      </c>
      <c r="L377" s="465">
        <f>'по МК 56'!E124/1000-0.00001</f>
        <v>1744.0734360499998</v>
      </c>
      <c r="M377" s="561">
        <v>0</v>
      </c>
      <c r="N377" s="249"/>
      <c r="O377" s="250"/>
    </row>
    <row r="378" spans="2:15" ht="33" x14ac:dyDescent="0.25">
      <c r="B378" s="492" t="str">
        <f>'по МК 56'!C125</f>
        <v>Капитальный ремонт автомобильных дорог города Орла на улицах частной жилой застройки: пер. Краснозоренский</v>
      </c>
      <c r="C378" s="479"/>
      <c r="D378" s="465"/>
      <c r="E378" s="480"/>
      <c r="F378" s="490">
        <f t="shared" si="21"/>
        <v>880</v>
      </c>
      <c r="G378" s="557">
        <f>'по МК 56'!D125/1000</f>
        <v>0.22</v>
      </c>
      <c r="H378" s="465">
        <f t="shared" si="23"/>
        <v>1736.181711</v>
      </c>
      <c r="I378" s="468">
        <v>0</v>
      </c>
      <c r="J378" s="468">
        <v>0</v>
      </c>
      <c r="K378" s="468">
        <v>0</v>
      </c>
      <c r="L378" s="465">
        <f>'по МК 56'!E125/1000</f>
        <v>1736.181711</v>
      </c>
      <c r="M378" s="561">
        <v>0</v>
      </c>
      <c r="N378" s="249"/>
      <c r="O378" s="250"/>
    </row>
    <row r="379" spans="2:15" ht="33" x14ac:dyDescent="0.25">
      <c r="B379" s="492" t="str">
        <f>'по МК 56'!C126</f>
        <v>Капитальный ремонт автомобильных дорог города Орла на улицах частной жилой застройки: пер. Столярный</v>
      </c>
      <c r="C379" s="479"/>
      <c r="D379" s="465"/>
      <c r="E379" s="480"/>
      <c r="F379" s="490">
        <f t="shared" si="21"/>
        <v>480</v>
      </c>
      <c r="G379" s="557">
        <f>'по МК 56'!D126/1000</f>
        <v>0.12</v>
      </c>
      <c r="H379" s="465">
        <f t="shared" si="23"/>
        <v>947.00818100000004</v>
      </c>
      <c r="I379" s="468">
        <v>0</v>
      </c>
      <c r="J379" s="468">
        <v>0</v>
      </c>
      <c r="K379" s="468">
        <v>0</v>
      </c>
      <c r="L379" s="465">
        <f>'по МК 56'!E126/1000-0.000015</f>
        <v>947.00818100000004</v>
      </c>
      <c r="M379" s="561">
        <v>0</v>
      </c>
      <c r="N379" s="249"/>
      <c r="O379" s="250"/>
    </row>
    <row r="380" spans="2:15" ht="33" x14ac:dyDescent="0.25">
      <c r="B380" s="492" t="str">
        <f>'по МК 56'!C127</f>
        <v>Капитальный ремонт автомобильных дорог города Орла на улицах частной жилой застройки: ул. Надежды</v>
      </c>
      <c r="C380" s="479"/>
      <c r="D380" s="465"/>
      <c r="E380" s="480"/>
      <c r="F380" s="490">
        <f t="shared" si="21"/>
        <v>1900</v>
      </c>
      <c r="G380" s="557">
        <f>'по МК 56'!D127/1000</f>
        <v>0.47499999999999998</v>
      </c>
      <c r="H380" s="465">
        <f t="shared" si="23"/>
        <v>3748.5741487499999</v>
      </c>
      <c r="I380" s="468">
        <v>0</v>
      </c>
      <c r="J380" s="468">
        <v>0</v>
      </c>
      <c r="K380" s="468">
        <v>0</v>
      </c>
      <c r="L380" s="465">
        <f>'по МК 56'!E127/1000</f>
        <v>3748.5741487499999</v>
      </c>
      <c r="M380" s="561">
        <v>0</v>
      </c>
      <c r="N380" s="249"/>
      <c r="O380" s="250"/>
    </row>
    <row r="381" spans="2:15" ht="33" x14ac:dyDescent="0.25">
      <c r="B381" s="492" t="str">
        <f>'по МК 56'!C128</f>
        <v>Капитальный ремонт автомобильных дорог города Орла на улицах частной жилой застройки: ул. Сечкина</v>
      </c>
      <c r="C381" s="479"/>
      <c r="D381" s="465"/>
      <c r="E381" s="480"/>
      <c r="F381" s="490">
        <f t="shared" si="21"/>
        <v>1156</v>
      </c>
      <c r="G381" s="557">
        <f>'по МК 56'!D128/1000</f>
        <v>0.28899999999999998</v>
      </c>
      <c r="H381" s="465">
        <f t="shared" si="23"/>
        <v>2280.7114294499997</v>
      </c>
      <c r="I381" s="468">
        <v>0</v>
      </c>
      <c r="J381" s="468">
        <v>0</v>
      </c>
      <c r="K381" s="468">
        <v>0</v>
      </c>
      <c r="L381" s="465">
        <f>'по МК 56'!E128/1000</f>
        <v>2280.7114294499997</v>
      </c>
      <c r="M381" s="561">
        <v>0</v>
      </c>
      <c r="N381" s="249"/>
      <c r="O381" s="250"/>
    </row>
    <row r="382" spans="2:15" ht="33" x14ac:dyDescent="0.25">
      <c r="B382" s="492" t="str">
        <f>'по МК 56'!C129</f>
        <v>Капитальный ремонт автомобильных дорог города Орла на улицах частной жилой застройки: пер. Сечкина</v>
      </c>
      <c r="C382" s="479"/>
      <c r="D382" s="465"/>
      <c r="E382" s="480"/>
      <c r="F382" s="490">
        <f t="shared" si="21"/>
        <v>1012</v>
      </c>
      <c r="G382" s="557">
        <f>'по МК 56'!D129/1000</f>
        <v>0.253</v>
      </c>
      <c r="H382" s="465">
        <f t="shared" si="23"/>
        <v>1996.6089676500001</v>
      </c>
      <c r="I382" s="468">
        <v>0</v>
      </c>
      <c r="J382" s="468">
        <v>0</v>
      </c>
      <c r="K382" s="468">
        <v>0</v>
      </c>
      <c r="L382" s="465">
        <f>'по МК 56'!E129/1000</f>
        <v>1996.6089676500001</v>
      </c>
      <c r="M382" s="561">
        <v>0</v>
      </c>
      <c r="N382" s="249"/>
      <c r="O382" s="250"/>
    </row>
    <row r="383" spans="2:15" ht="33" x14ac:dyDescent="0.25">
      <c r="B383" s="492" t="str">
        <f>'по МК 56'!C130</f>
        <v>Капитальный ремонт автомобильных дорог города Орла на улицах частной жилой застройки: ул. Героев Чекистов</v>
      </c>
      <c r="C383" s="479"/>
      <c r="D383" s="465"/>
      <c r="E383" s="480"/>
      <c r="F383" s="490">
        <f t="shared" si="21"/>
        <v>824</v>
      </c>
      <c r="G383" s="557">
        <f>'по МК 56'!D130/1000</f>
        <v>0.20599999999999999</v>
      </c>
      <c r="H383" s="465">
        <f t="shared" si="23"/>
        <v>1625.6974203</v>
      </c>
      <c r="I383" s="468">
        <v>0</v>
      </c>
      <c r="J383" s="468">
        <v>0</v>
      </c>
      <c r="K383" s="468">
        <v>0</v>
      </c>
      <c r="L383" s="465">
        <f>'по МК 56'!E130/1000</f>
        <v>1625.6974203</v>
      </c>
      <c r="M383" s="561">
        <v>0</v>
      </c>
      <c r="N383" s="249"/>
      <c r="O383" s="250"/>
    </row>
    <row r="384" spans="2:15" ht="33" x14ac:dyDescent="0.25">
      <c r="B384" s="492" t="str">
        <f>'по МК 56'!C131</f>
        <v>Капитальный ремонт автомобильных дорог города Орла на улицах частной жилой застройки: ул. Героев Милиционеров</v>
      </c>
      <c r="C384" s="479"/>
      <c r="D384" s="465"/>
      <c r="E384" s="480"/>
      <c r="F384" s="490">
        <f t="shared" si="21"/>
        <v>384</v>
      </c>
      <c r="G384" s="557">
        <f>'по МК 56'!D131/1000</f>
        <v>9.6000000000000002E-2</v>
      </c>
      <c r="H384" s="465">
        <f t="shared" si="23"/>
        <v>757.60613599999999</v>
      </c>
      <c r="I384" s="468">
        <v>0</v>
      </c>
      <c r="J384" s="468">
        <v>0</v>
      </c>
      <c r="K384" s="468">
        <v>0</v>
      </c>
      <c r="L384" s="465">
        <f>'по МК 56'!E131/1000-0.00002</f>
        <v>757.60613599999999</v>
      </c>
      <c r="M384" s="561">
        <v>0</v>
      </c>
      <c r="N384" s="249"/>
      <c r="O384" s="250"/>
    </row>
    <row r="385" spans="2:16" ht="33" x14ac:dyDescent="0.25">
      <c r="B385" s="492" t="str">
        <f>'по МК 56'!C132</f>
        <v>Капитальный ремонт автомобильных дорог города Орла на улицах частной жилой застройки: ул. Благининой</v>
      </c>
      <c r="C385" s="479"/>
      <c r="D385" s="465"/>
      <c r="E385" s="480"/>
      <c r="F385" s="490">
        <f t="shared" si="21"/>
        <v>5600</v>
      </c>
      <c r="G385" s="557">
        <f>'по МК 56'!D132/1000</f>
        <v>1.4</v>
      </c>
      <c r="H385" s="465">
        <f t="shared" si="23"/>
        <v>16250.152047999996</v>
      </c>
      <c r="I385" s="468">
        <v>0</v>
      </c>
      <c r="J385" s="468">
        <v>0</v>
      </c>
      <c r="K385" s="468">
        <v>0</v>
      </c>
      <c r="L385" s="465">
        <f>'по МК 56'!E132/1000</f>
        <v>16250.152047999996</v>
      </c>
      <c r="M385" s="561">
        <v>0</v>
      </c>
      <c r="N385" s="249"/>
      <c r="O385" s="250"/>
    </row>
    <row r="386" spans="2:16" ht="33" hidden="1" x14ac:dyDescent="0.25">
      <c r="B386" s="492" t="s">
        <v>297</v>
      </c>
      <c r="C386" s="479"/>
      <c r="D386" s="479"/>
      <c r="E386" s="587"/>
      <c r="F386" s="490">
        <f>60.3*8-482</f>
        <v>0.39999999999997726</v>
      </c>
      <c r="G386" s="557">
        <f>0.0603-0.0603</f>
        <v>0</v>
      </c>
      <c r="H386" s="465">
        <f t="shared" si="23"/>
        <v>0</v>
      </c>
      <c r="I386" s="468">
        <v>0</v>
      </c>
      <c r="J386" s="468">
        <v>0</v>
      </c>
      <c r="K386" s="468">
        <v>0</v>
      </c>
      <c r="L386" s="465">
        <v>0</v>
      </c>
      <c r="M386" s="561">
        <f>3000-3000</f>
        <v>0</v>
      </c>
      <c r="P386" s="250">
        <f>J402+J135</f>
        <v>358334.67801780009</v>
      </c>
    </row>
    <row r="387" spans="2:16" ht="33" hidden="1" x14ac:dyDescent="0.25">
      <c r="B387" s="492" t="s">
        <v>298</v>
      </c>
      <c r="C387" s="479"/>
      <c r="D387" s="479"/>
      <c r="E387" s="587"/>
      <c r="F387" s="490">
        <f>267*8-2136</f>
        <v>0</v>
      </c>
      <c r="G387" s="557">
        <f>0.267-0.267</f>
        <v>0</v>
      </c>
      <c r="H387" s="465">
        <f t="shared" si="23"/>
        <v>0</v>
      </c>
      <c r="I387" s="468">
        <v>0</v>
      </c>
      <c r="J387" s="468">
        <v>0</v>
      </c>
      <c r="K387" s="468">
        <v>0</v>
      </c>
      <c r="L387" s="465">
        <v>0</v>
      </c>
      <c r="M387" s="561">
        <f>5000-5000</f>
        <v>0</v>
      </c>
    </row>
    <row r="388" spans="2:16" ht="33" hidden="1" x14ac:dyDescent="0.25">
      <c r="B388" s="582" t="s">
        <v>619</v>
      </c>
      <c r="C388" s="479"/>
      <c r="D388" s="479"/>
      <c r="E388" s="587"/>
      <c r="F388" s="490">
        <f>5090*8-40720</f>
        <v>0</v>
      </c>
      <c r="G388" s="557">
        <f>5.09-5.09</f>
        <v>0</v>
      </c>
      <c r="H388" s="465">
        <f t="shared" si="23"/>
        <v>0</v>
      </c>
      <c r="I388" s="468">
        <v>0</v>
      </c>
      <c r="J388" s="468">
        <v>0</v>
      </c>
      <c r="K388" s="468">
        <v>0</v>
      </c>
      <c r="L388" s="465">
        <v>0</v>
      </c>
      <c r="M388" s="561">
        <f>2687091.49-2687091.49</f>
        <v>0</v>
      </c>
    </row>
    <row r="389" spans="2:16" ht="48.75" hidden="1" customHeight="1" x14ac:dyDescent="0.25">
      <c r="B389" s="492" t="str">
        <f>'перечень объектов'!B466</f>
        <v xml:space="preserve">Капитальный ремонт автомобильной дороги по ул. Тургенева на участке от ул. Салтыкова-Щедрина до моста Тургеневский через р. Орлик </v>
      </c>
      <c r="C389" s="479"/>
      <c r="D389" s="479"/>
      <c r="E389" s="587"/>
      <c r="F389" s="490">
        <v>8480</v>
      </c>
      <c r="G389" s="557">
        <v>0.53</v>
      </c>
      <c r="H389" s="465">
        <f t="shared" si="23"/>
        <v>171900</v>
      </c>
      <c r="I389" s="468">
        <v>0</v>
      </c>
      <c r="J389" s="468">
        <v>0</v>
      </c>
      <c r="K389" s="468">
        <v>0</v>
      </c>
      <c r="L389" s="465">
        <v>0</v>
      </c>
      <c r="M389" s="561">
        <f>'перечень объектов'!C466</f>
        <v>171900</v>
      </c>
      <c r="O389" s="497">
        <f>SUM(F389:F397)</f>
        <v>79132</v>
      </c>
      <c r="P389" s="306">
        <f>SUM(G389:G397)</f>
        <v>5.7644000000000002</v>
      </c>
    </row>
    <row r="390" spans="2:16" ht="33" hidden="1" x14ac:dyDescent="0.25">
      <c r="B390" s="492" t="str">
        <f>'перечень объектов'!B467</f>
        <v>Капитальный ремонт автомобильной дороги по ул. Максима Горького на участке от ул. Брестская до ул. 7 Ноября</v>
      </c>
      <c r="C390" s="479"/>
      <c r="D390" s="479"/>
      <c r="E390" s="587"/>
      <c r="F390" s="490">
        <v>7665</v>
      </c>
      <c r="G390" s="557">
        <v>0.36499999999999999</v>
      </c>
      <c r="H390" s="465">
        <f t="shared" si="23"/>
        <v>101200</v>
      </c>
      <c r="I390" s="468">
        <v>0</v>
      </c>
      <c r="J390" s="468">
        <v>0</v>
      </c>
      <c r="K390" s="468">
        <v>0</v>
      </c>
      <c r="L390" s="465">
        <v>0</v>
      </c>
      <c r="M390" s="561">
        <f>'перечень объектов'!C467</f>
        <v>101200</v>
      </c>
      <c r="O390" s="251">
        <v>24560</v>
      </c>
      <c r="P390" s="251">
        <v>3.07</v>
      </c>
    </row>
    <row r="391" spans="2:16" hidden="1" x14ac:dyDescent="0.25">
      <c r="B391" s="492" t="str">
        <f>'перечень объектов'!B468</f>
        <v xml:space="preserve">Капитальный ремонт автомобильной дороги по ул. Брестская </v>
      </c>
      <c r="C391" s="479"/>
      <c r="D391" s="479"/>
      <c r="E391" s="587"/>
      <c r="F391" s="490">
        <v>6985</v>
      </c>
      <c r="G391" s="557">
        <v>0.5</v>
      </c>
      <c r="H391" s="465">
        <f t="shared" si="23"/>
        <v>191400</v>
      </c>
      <c r="I391" s="468">
        <v>0</v>
      </c>
      <c r="J391" s="468">
        <v>0</v>
      </c>
      <c r="K391" s="468">
        <v>0</v>
      </c>
      <c r="L391" s="465">
        <v>0</v>
      </c>
      <c r="M391" s="561">
        <f>'перечень объектов'!C468</f>
        <v>191400</v>
      </c>
      <c r="O391" s="251">
        <v>38560</v>
      </c>
      <c r="P391" s="251">
        <v>2.41</v>
      </c>
    </row>
    <row r="392" spans="2:16" hidden="1" x14ac:dyDescent="0.25">
      <c r="B392" s="492" t="str">
        <f>'перечень объектов'!B469</f>
        <v>Капитальный ремонт автомобильной дороги по ул. Красина</v>
      </c>
      <c r="C392" s="479"/>
      <c r="D392" s="479"/>
      <c r="E392" s="587"/>
      <c r="F392" s="490">
        <v>14578</v>
      </c>
      <c r="G392" s="557">
        <v>1.2149000000000001</v>
      </c>
      <c r="H392" s="465">
        <f t="shared" si="23"/>
        <v>110000</v>
      </c>
      <c r="I392" s="468">
        <v>0</v>
      </c>
      <c r="J392" s="468">
        <v>0</v>
      </c>
      <c r="K392" s="468">
        <v>0</v>
      </c>
      <c r="L392" s="465">
        <v>0</v>
      </c>
      <c r="M392" s="561">
        <f>'перечень объектов'!C469</f>
        <v>110000</v>
      </c>
      <c r="O392" s="251">
        <v>21200</v>
      </c>
      <c r="P392" s="251">
        <v>1.06</v>
      </c>
    </row>
    <row r="393" spans="2:16" ht="35.25" hidden="1" customHeight="1" x14ac:dyDescent="0.25">
      <c r="B393" s="492" t="str">
        <f>'перечень объектов'!B470</f>
        <v xml:space="preserve">Капитальный ремонт автомобильной дороги по ул. Красноармейская </v>
      </c>
      <c r="C393" s="479"/>
      <c r="D393" s="479"/>
      <c r="E393" s="587"/>
      <c r="F393" s="490">
        <v>13118</v>
      </c>
      <c r="G393" s="557">
        <v>0.9375</v>
      </c>
      <c r="H393" s="465">
        <f t="shared" si="23"/>
        <v>324500</v>
      </c>
      <c r="I393" s="468">
        <v>0</v>
      </c>
      <c r="J393" s="468">
        <v>0</v>
      </c>
      <c r="K393" s="468">
        <v>0</v>
      </c>
      <c r="L393" s="465">
        <v>0</v>
      </c>
      <c r="M393" s="561">
        <f>'перечень объектов'!C470</f>
        <v>324500</v>
      </c>
    </row>
    <row r="394" spans="2:16" ht="33" hidden="1" x14ac:dyDescent="0.25">
      <c r="B394" s="492" t="str">
        <f>'перечень объектов'!B471</f>
        <v xml:space="preserve">Капитальный ремонт автомобильной дороги по ул. Сурена Шаумяна </v>
      </c>
      <c r="C394" s="479"/>
      <c r="D394" s="479"/>
      <c r="E394" s="587"/>
      <c r="F394" s="490">
        <v>11718</v>
      </c>
      <c r="G394" s="557">
        <v>0.83699999999999997</v>
      </c>
      <c r="H394" s="465">
        <f t="shared" si="23"/>
        <v>309100</v>
      </c>
      <c r="I394" s="468">
        <v>0</v>
      </c>
      <c r="J394" s="468">
        <v>0</v>
      </c>
      <c r="K394" s="468">
        <v>0</v>
      </c>
      <c r="L394" s="465">
        <v>0</v>
      </c>
      <c r="M394" s="561">
        <f>'перечень объектов'!C471</f>
        <v>309100</v>
      </c>
    </row>
    <row r="395" spans="2:16" ht="33" hidden="1" x14ac:dyDescent="0.25">
      <c r="B395" s="492" t="str">
        <f>'перечень объектов'!B472</f>
        <v>Капитальный ремонт автомобильной дороги по ул Тургенева на участке от ул. Брестская до дома № 17 по ул. Ленина</v>
      </c>
      <c r="C395" s="479"/>
      <c r="D395" s="479"/>
      <c r="E395" s="587"/>
      <c r="F395" s="490">
        <v>1856</v>
      </c>
      <c r="G395" s="557">
        <v>0.11600000000000001</v>
      </c>
      <c r="H395" s="465">
        <f t="shared" si="23"/>
        <v>25000</v>
      </c>
      <c r="I395" s="468">
        <v>0</v>
      </c>
      <c r="J395" s="468">
        <v>0</v>
      </c>
      <c r="K395" s="468">
        <v>0</v>
      </c>
      <c r="L395" s="465">
        <v>0</v>
      </c>
      <c r="M395" s="561">
        <f>'перечень объектов'!C472</f>
        <v>25000</v>
      </c>
    </row>
    <row r="396" spans="2:16" ht="49.5" hidden="1" x14ac:dyDescent="0.25">
      <c r="B396" s="492" t="str">
        <f>'перечень объектов'!B473</f>
        <v>Капитальный ремонт автомобильной дороги по ул. 1-ая Посадская на участке от ул. Комсомольская до моста Тургеневский через р. Орлик ул. Тургенева</v>
      </c>
      <c r="C396" s="479"/>
      <c r="D396" s="479"/>
      <c r="E396" s="587"/>
      <c r="F396" s="490">
        <v>7700</v>
      </c>
      <c r="G396" s="557">
        <v>0.38500000000000001</v>
      </c>
      <c r="H396" s="465">
        <f t="shared" si="23"/>
        <v>160600</v>
      </c>
      <c r="I396" s="468">
        <v>0</v>
      </c>
      <c r="J396" s="468">
        <v>0</v>
      </c>
      <c r="K396" s="468">
        <v>0</v>
      </c>
      <c r="L396" s="465">
        <v>0</v>
      </c>
      <c r="M396" s="561">
        <f>'перечень объектов'!C473</f>
        <v>160600</v>
      </c>
    </row>
    <row r="397" spans="2:16" ht="49.5" hidden="1" x14ac:dyDescent="0.25">
      <c r="B397" s="492" t="s">
        <v>468</v>
      </c>
      <c r="C397" s="479"/>
      <c r="D397" s="479"/>
      <c r="E397" s="587"/>
      <c r="F397" s="490">
        <v>7032</v>
      </c>
      <c r="G397" s="557">
        <v>0.879</v>
      </c>
      <c r="H397" s="473">
        <f t="shared" ref="H397:H399" si="24">SUM(I397:M397)</f>
        <v>86000</v>
      </c>
      <c r="I397" s="465">
        <v>0</v>
      </c>
      <c r="J397" s="465">
        <v>0</v>
      </c>
      <c r="K397" s="465">
        <v>0</v>
      </c>
      <c r="L397" s="465">
        <v>0</v>
      </c>
      <c r="M397" s="561">
        <v>86000</v>
      </c>
      <c r="N397" s="253" t="s">
        <v>469</v>
      </c>
      <c r="O397" s="250">
        <f>K403-9565.69744</f>
        <v>32088.39405880732</v>
      </c>
    </row>
    <row r="398" spans="2:16" ht="33" x14ac:dyDescent="0.25">
      <c r="B398" s="492" t="s">
        <v>27</v>
      </c>
      <c r="C398" s="479"/>
      <c r="D398" s="479"/>
      <c r="E398" s="587"/>
      <c r="F398" s="490"/>
      <c r="G398" s="557"/>
      <c r="H398" s="473">
        <f t="shared" si="24"/>
        <v>11897.765479999998</v>
      </c>
      <c r="I398" s="465">
        <v>0</v>
      </c>
      <c r="J398" s="465">
        <f>3936.007+540</f>
        <v>4476.0069999999996</v>
      </c>
      <c r="K398" s="465">
        <f>2100.64497+1374.11351</f>
        <v>3474.7584799999995</v>
      </c>
      <c r="L398" s="465">
        <v>0</v>
      </c>
      <c r="M398" s="561">
        <f>'перечень объектов'!C474</f>
        <v>3947</v>
      </c>
    </row>
    <row r="399" spans="2:16" x14ac:dyDescent="0.25">
      <c r="B399" s="582" t="s">
        <v>28</v>
      </c>
      <c r="C399" s="479"/>
      <c r="D399" s="479"/>
      <c r="E399" s="587"/>
      <c r="F399" s="490"/>
      <c r="G399" s="557"/>
      <c r="H399" s="473">
        <f t="shared" si="24"/>
        <v>79157.950702842092</v>
      </c>
      <c r="I399" s="465">
        <f>7318.72345+3413.74478284208+10042.62446+18021.04791+9931.6025+30430.2076</f>
        <v>79157.950702842092</v>
      </c>
      <c r="J399" s="465">
        <f>20904.8188868688-20904.8188868688</f>
        <v>0</v>
      </c>
      <c r="K399" s="465">
        <v>0</v>
      </c>
      <c r="L399" s="465">
        <v>0</v>
      </c>
      <c r="M399" s="561">
        <v>0</v>
      </c>
    </row>
    <row r="400" spans="2:16" ht="17.25" x14ac:dyDescent="0.25">
      <c r="B400" s="549" t="s">
        <v>16</v>
      </c>
      <c r="C400" s="479"/>
      <c r="D400" s="479"/>
      <c r="E400" s="587"/>
      <c r="F400" s="572"/>
      <c r="G400" s="479"/>
      <c r="H400" s="473"/>
      <c r="I400" s="465"/>
      <c r="J400" s="465"/>
      <c r="K400" s="465"/>
      <c r="L400" s="465"/>
      <c r="M400" s="561"/>
      <c r="O400" s="251" t="s">
        <v>623</v>
      </c>
      <c r="P400" s="250">
        <v>2687091.49</v>
      </c>
    </row>
    <row r="401" spans="2:17" x14ac:dyDescent="0.25">
      <c r="B401" s="492" t="s">
        <v>77</v>
      </c>
      <c r="C401" s="479"/>
      <c r="D401" s="479"/>
      <c r="E401" s="587"/>
      <c r="F401" s="572"/>
      <c r="G401" s="479"/>
      <c r="H401" s="465">
        <f>SUM(I401:M401)</f>
        <v>0</v>
      </c>
      <c r="I401" s="465">
        <v>0</v>
      </c>
      <c r="J401" s="465">
        <v>0</v>
      </c>
      <c r="K401" s="465">
        <v>0</v>
      </c>
      <c r="L401" s="465">
        <v>0</v>
      </c>
      <c r="M401" s="561">
        <v>0</v>
      </c>
      <c r="N401" s="267"/>
      <c r="O401" s="306" t="s">
        <v>621</v>
      </c>
      <c r="P401" s="306">
        <f>(P400-P403)*0.99</f>
        <v>2633618.369349</v>
      </c>
    </row>
    <row r="402" spans="2:17" x14ac:dyDescent="0.25">
      <c r="B402" s="492" t="s">
        <v>78</v>
      </c>
      <c r="C402" s="479"/>
      <c r="D402" s="479"/>
      <c r="E402" s="587"/>
      <c r="F402" s="572"/>
      <c r="G402" s="479"/>
      <c r="H402" s="465">
        <f>SUM(I402:M402)</f>
        <v>1280787.6844331394</v>
      </c>
      <c r="I402" s="465">
        <v>126480.05765669997</v>
      </c>
      <c r="J402" s="465">
        <f>'перечень объектов'!F199</f>
        <v>312714.46092150005</v>
      </c>
      <c r="K402" s="465">
        <f>'перечень объектов'!F267</f>
        <v>342473.96585192287</v>
      </c>
      <c r="L402" s="465">
        <f>'перечень объектов'!F364</f>
        <v>399119.20000311674</v>
      </c>
      <c r="M402" s="561">
        <f>'перечень объектов'!F457</f>
        <v>99999.999999899999</v>
      </c>
      <c r="N402" s="267"/>
      <c r="O402" s="306" t="s">
        <v>192</v>
      </c>
      <c r="P402" s="306">
        <f>P400-P401-P403</f>
        <v>26602.205750999972</v>
      </c>
    </row>
    <row r="403" spans="2:17" ht="17.25" thickBot="1" x14ac:dyDescent="0.3">
      <c r="B403" s="597" t="s">
        <v>10</v>
      </c>
      <c r="C403" s="598"/>
      <c r="D403" s="598"/>
      <c r="E403" s="599"/>
      <c r="F403" s="600"/>
      <c r="G403" s="598"/>
      <c r="H403" s="519">
        <f>SUM(I403:M403)</f>
        <v>482726.75154511561</v>
      </c>
      <c r="I403" s="519">
        <f>4096.6+280.7</f>
        <v>4377.3</v>
      </c>
      <c r="J403" s="519">
        <f>'перечень объектов'!G199</f>
        <v>3158.7319284999985</v>
      </c>
      <c r="K403" s="519">
        <f>'перечень объектов'!G267</f>
        <v>41654.09149880732</v>
      </c>
      <c r="L403" s="519">
        <f>'перечень объектов'!G364</f>
        <v>428579.52710770827</v>
      </c>
      <c r="M403" s="601">
        <f>'перечень объектов'!G457</f>
        <v>4957.1010100999993</v>
      </c>
      <c r="N403" s="267">
        <f>K402+K135</f>
        <v>476334.81664592284</v>
      </c>
      <c r="O403" s="306" t="s">
        <v>622</v>
      </c>
      <c r="P403" s="306">
        <f>P400-P400*0.99</f>
        <v>26870.914900000207</v>
      </c>
    </row>
    <row r="404" spans="2:17" x14ac:dyDescent="0.25">
      <c r="B404" s="485"/>
      <c r="C404" s="485"/>
      <c r="D404" s="485"/>
      <c r="E404" s="485"/>
      <c r="F404" s="485"/>
      <c r="G404" s="485"/>
      <c r="H404" s="467"/>
      <c r="I404" s="467"/>
      <c r="J404" s="467"/>
      <c r="K404" s="467"/>
      <c r="L404" s="467"/>
      <c r="M404" s="467"/>
      <c r="O404" s="306"/>
      <c r="P404" s="306"/>
    </row>
    <row r="405" spans="2:17" hidden="1" x14ac:dyDescent="0.25">
      <c r="B405" s="485"/>
      <c r="C405" s="602"/>
      <c r="D405" s="602"/>
      <c r="E405" s="602"/>
      <c r="F405" s="603"/>
      <c r="G405" s="604"/>
      <c r="H405" s="605"/>
      <c r="I405" s="612"/>
      <c r="J405" s="454"/>
      <c r="L405" s="454"/>
      <c r="M405" s="454"/>
    </row>
    <row r="406" spans="2:17" x14ac:dyDescent="0.25">
      <c r="B406" s="485"/>
      <c r="C406" s="602"/>
      <c r="D406" s="602"/>
      <c r="E406" s="602"/>
      <c r="F406" s="602"/>
      <c r="G406" s="602"/>
      <c r="H406" s="454"/>
      <c r="I406" s="454"/>
      <c r="J406" s="454"/>
      <c r="L406" s="454"/>
      <c r="M406" s="454"/>
    </row>
    <row r="407" spans="2:17" s="308" customFormat="1" ht="21" x14ac:dyDescent="0.25">
      <c r="B407" s="606" t="s">
        <v>876</v>
      </c>
      <c r="C407" s="606"/>
      <c r="D407" s="606"/>
      <c r="E407" s="607"/>
      <c r="F407" s="607"/>
      <c r="G407" s="607"/>
      <c r="H407" s="452"/>
      <c r="I407" s="452"/>
      <c r="J407" s="452"/>
      <c r="K407" s="452"/>
      <c r="L407" s="452"/>
      <c r="M407" s="452"/>
      <c r="N407" s="127"/>
    </row>
    <row r="408" spans="2:17" s="308" customFormat="1" ht="21" x14ac:dyDescent="0.25">
      <c r="B408" s="606" t="s">
        <v>125</v>
      </c>
      <c r="C408" s="606"/>
      <c r="D408" s="606"/>
      <c r="E408" s="607"/>
      <c r="F408" s="690"/>
      <c r="G408" s="690"/>
      <c r="H408" s="608"/>
      <c r="I408" s="702"/>
      <c r="J408" s="702"/>
      <c r="K408" s="452"/>
      <c r="L408" s="452"/>
      <c r="M408" s="629" t="s">
        <v>128</v>
      </c>
      <c r="N408" s="127"/>
    </row>
    <row r="409" spans="2:17" ht="18.75" x14ac:dyDescent="0.25">
      <c r="B409" s="609"/>
      <c r="C409" s="609"/>
      <c r="D409" s="609"/>
      <c r="E409" s="610"/>
      <c r="F409" s="611"/>
      <c r="G409" s="611"/>
      <c r="H409" s="612"/>
      <c r="I409" s="454"/>
      <c r="J409" s="454"/>
      <c r="L409" s="454"/>
      <c r="M409" s="454"/>
    </row>
    <row r="410" spans="2:17" x14ac:dyDescent="0.25">
      <c r="H410" s="252">
        <f t="shared" ref="H410:M410" si="25">H18</f>
        <v>11454022.18460216</v>
      </c>
      <c r="I410" s="252">
        <f t="shared" si="25"/>
        <v>2358972.9104914097</v>
      </c>
      <c r="J410" s="252">
        <f t="shared" si="25"/>
        <v>3491085.714027327</v>
      </c>
      <c r="K410" s="454">
        <f t="shared" si="25"/>
        <v>1993660.9945707808</v>
      </c>
      <c r="L410" s="252">
        <f t="shared" si="25"/>
        <v>2095606.8483317341</v>
      </c>
      <c r="M410" s="252">
        <f t="shared" si="25"/>
        <v>1514695.7171809091</v>
      </c>
    </row>
    <row r="411" spans="2:17" x14ac:dyDescent="0.25">
      <c r="B411" s="312"/>
      <c r="F411" s="307"/>
      <c r="H411" s="252">
        <f t="shared" ref="H411:M411" si="26">H36+H37+H38+H134+H135+H136+H163+H165+H166+H200+H201+H202+H209+H210+H211+H236+H237+H238+H228+H229+H230+H401+H402+H403+H164</f>
        <v>11454022.184602164</v>
      </c>
      <c r="I411" s="252">
        <f t="shared" si="26"/>
        <v>2358972.9104914092</v>
      </c>
      <c r="J411" s="252">
        <f t="shared" si="26"/>
        <v>3491085.714027327</v>
      </c>
      <c r="K411" s="454">
        <f t="shared" si="26"/>
        <v>1993660.9945707808</v>
      </c>
      <c r="L411" s="252">
        <f t="shared" si="26"/>
        <v>2095606.8483317336</v>
      </c>
      <c r="M411" s="252">
        <f t="shared" si="26"/>
        <v>1514695.7171809091</v>
      </c>
      <c r="O411" s="250">
        <f>K402+K135</f>
        <v>476334.81664592284</v>
      </c>
      <c r="P411" s="251">
        <v>937220.4</v>
      </c>
      <c r="Q411" s="250">
        <f>P411-O411</f>
        <v>460885.58335407719</v>
      </c>
    </row>
    <row r="412" spans="2:17" x14ac:dyDescent="0.25">
      <c r="H412" s="252">
        <f>H403+H238+H230+H211+H202+H166+H38+H136</f>
        <v>753038.56117683416</v>
      </c>
    </row>
    <row r="413" spans="2:17" ht="18.75" x14ac:dyDescent="0.25">
      <c r="B413" s="309"/>
      <c r="C413" s="309"/>
      <c r="D413" s="309"/>
      <c r="E413" s="310"/>
      <c r="F413" s="310"/>
      <c r="G413" s="310"/>
      <c r="H413" s="252">
        <f>SUM(I403:M403,I238:M238,I230:M230,I211:M211,I202:M202,I166:M166,I136:M136,I38:M38)</f>
        <v>753038.5611768344</v>
      </c>
    </row>
    <row r="414" spans="2:17" ht="18.75" x14ac:dyDescent="0.25">
      <c r="B414" s="309"/>
      <c r="C414" s="309"/>
      <c r="D414" s="309"/>
      <c r="E414" s="309"/>
      <c r="F414" s="651"/>
      <c r="G414" s="651"/>
      <c r="H414" s="311"/>
    </row>
    <row r="415" spans="2:17" ht="18.75" x14ac:dyDescent="0.25">
      <c r="B415" s="309"/>
      <c r="C415" s="309"/>
      <c r="D415" s="309"/>
      <c r="E415" s="310"/>
      <c r="F415" s="651"/>
      <c r="G415" s="651"/>
      <c r="H415" s="311"/>
    </row>
    <row r="416" spans="2:17" x14ac:dyDescent="0.25">
      <c r="H416" s="252">
        <v>80952722.560000002</v>
      </c>
      <c r="I416" s="252" t="s">
        <v>625</v>
      </c>
    </row>
    <row r="417" spans="8:9" x14ac:dyDescent="0.25">
      <c r="H417" s="252">
        <f>H416*0.99</f>
        <v>80143195.334399998</v>
      </c>
      <c r="I417" s="252" t="s">
        <v>626</v>
      </c>
    </row>
  </sheetData>
  <mergeCells count="78">
    <mergeCell ref="H35:M35"/>
    <mergeCell ref="B137:M137"/>
    <mergeCell ref="B139:B141"/>
    <mergeCell ref="D139:D141"/>
    <mergeCell ref="E139:E141"/>
    <mergeCell ref="C40:C131"/>
    <mergeCell ref="C139:C160"/>
    <mergeCell ref="F40:G41"/>
    <mergeCell ref="I133:M133"/>
    <mergeCell ref="M41:M43"/>
    <mergeCell ref="H41:H43"/>
    <mergeCell ref="K139:K141"/>
    <mergeCell ref="L139:L141"/>
    <mergeCell ref="M139:M141"/>
    <mergeCell ref="I199:M199"/>
    <mergeCell ref="F168:G169"/>
    <mergeCell ref="C169:C197"/>
    <mergeCell ref="B12:M12"/>
    <mergeCell ref="B41:B43"/>
    <mergeCell ref="D41:D43"/>
    <mergeCell ref="E41:E43"/>
    <mergeCell ref="L41:L43"/>
    <mergeCell ref="B15:B16"/>
    <mergeCell ref="C15:C16"/>
    <mergeCell ref="D15:E15"/>
    <mergeCell ref="F15:G16"/>
    <mergeCell ref="H15:M15"/>
    <mergeCell ref="C26:C34"/>
    <mergeCell ref="F25:G26"/>
    <mergeCell ref="B24:M24"/>
    <mergeCell ref="F415:G415"/>
    <mergeCell ref="F408:G408"/>
    <mergeCell ref="F204:G205"/>
    <mergeCell ref="F213:G214"/>
    <mergeCell ref="F232:G233"/>
    <mergeCell ref="F240:G241"/>
    <mergeCell ref="B239:M239"/>
    <mergeCell ref="I408:J408"/>
    <mergeCell ref="B212:M212"/>
    <mergeCell ref="C232:C234"/>
    <mergeCell ref="B241:B243"/>
    <mergeCell ref="C240:C243"/>
    <mergeCell ref="H241:H243"/>
    <mergeCell ref="D241:D243"/>
    <mergeCell ref="E241:E243"/>
    <mergeCell ref="M241:M243"/>
    <mergeCell ref="B203:M203"/>
    <mergeCell ref="J2:M2"/>
    <mergeCell ref="J3:M3"/>
    <mergeCell ref="J4:M4"/>
    <mergeCell ref="J5:M5"/>
    <mergeCell ref="B39:M39"/>
    <mergeCell ref="C18:C23"/>
    <mergeCell ref="D18:D23"/>
    <mergeCell ref="E18:E23"/>
    <mergeCell ref="I19:M19"/>
    <mergeCell ref="F18:G23"/>
    <mergeCell ref="J10:M10"/>
    <mergeCell ref="J7:M7"/>
    <mergeCell ref="J8:M8"/>
    <mergeCell ref="J9:M9"/>
    <mergeCell ref="B13:M13"/>
    <mergeCell ref="C214:C224"/>
    <mergeCell ref="F414:G414"/>
    <mergeCell ref="K241:K243"/>
    <mergeCell ref="L241:L243"/>
    <mergeCell ref="I41:I43"/>
    <mergeCell ref="J41:J43"/>
    <mergeCell ref="K41:K43"/>
    <mergeCell ref="H139:H141"/>
    <mergeCell ref="F138:G139"/>
    <mergeCell ref="B167:M167"/>
    <mergeCell ref="I139:I141"/>
    <mergeCell ref="J139:J141"/>
    <mergeCell ref="I162:M162"/>
    <mergeCell ref="I241:I243"/>
    <mergeCell ref="J241:J243"/>
    <mergeCell ref="I208:M208"/>
  </mergeCells>
  <pageMargins left="0.23622047244094491" right="0.23622047244094491" top="0.74803149606299213" bottom="0.74803149606299213" header="0.31496062992125984" footer="0.31496062992125984"/>
  <pageSetup paperSize="9" scale="39" fitToHeight="0" orientation="landscape" horizontalDpi="4294967295" verticalDpi="4294967295" r:id="rId1"/>
  <headerFooter>
    <oddFooter>&amp;C&amp;P</oddFooter>
  </headerFooter>
  <rowBreaks count="1" manualBreakCount="1">
    <brk id="221" max="12"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1"/>
  <sheetViews>
    <sheetView zoomScaleNormal="100" workbookViewId="0">
      <selection activeCell="H16" sqref="H16"/>
    </sheetView>
  </sheetViews>
  <sheetFormatPr defaultRowHeight="15" x14ac:dyDescent="0.25"/>
  <cols>
    <col min="1" max="1" width="9.140625" style="87"/>
    <col min="2" max="2" width="63.7109375" style="37" customWidth="1"/>
    <col min="3" max="3" width="16.7109375" style="37" customWidth="1"/>
    <col min="4" max="6" width="16.7109375" style="17" customWidth="1"/>
    <col min="7" max="7" width="17" style="17" customWidth="1"/>
    <col min="8" max="13" width="14.7109375" style="17" customWidth="1"/>
    <col min="14" max="16384" width="9.140625" style="17"/>
  </cols>
  <sheetData>
    <row r="2" spans="1:7" ht="24" customHeight="1" x14ac:dyDescent="0.25">
      <c r="B2" s="756"/>
      <c r="C2" s="756"/>
      <c r="D2" s="756"/>
      <c r="E2" s="756"/>
    </row>
    <row r="3" spans="1:7" ht="15.75" thickBot="1" x14ac:dyDescent="0.3">
      <c r="F3" s="85" t="s">
        <v>379</v>
      </c>
    </row>
    <row r="4" spans="1:7" s="85" customFormat="1" ht="18" customHeight="1" x14ac:dyDescent="0.25">
      <c r="A4" s="823" t="s">
        <v>376</v>
      </c>
      <c r="B4" s="824"/>
      <c r="C4" s="821">
        <v>2022</v>
      </c>
      <c r="D4" s="822"/>
      <c r="E4" s="821">
        <v>2023</v>
      </c>
      <c r="F4" s="822"/>
    </row>
    <row r="5" spans="1:7" s="85" customFormat="1" ht="18" customHeight="1" thickBot="1" x14ac:dyDescent="0.3">
      <c r="A5" s="825"/>
      <c r="B5" s="826"/>
      <c r="C5" s="95" t="s">
        <v>371</v>
      </c>
      <c r="D5" s="104" t="s">
        <v>378</v>
      </c>
      <c r="E5" s="95" t="s">
        <v>371</v>
      </c>
      <c r="F5" s="88" t="s">
        <v>377</v>
      </c>
    </row>
    <row r="6" spans="1:7" ht="75" x14ac:dyDescent="0.25">
      <c r="A6" s="89" t="s">
        <v>243</v>
      </c>
      <c r="B6" s="99" t="str">
        <f>'целевые показатели'!B26</f>
        <v>Содержание автомобильных дорог общего пользования местного значения и искусственных сооружений на них, приобретение дорожной техники, необходимой для содержания автомобильных дорог общего пользования местного значения</v>
      </c>
      <c r="C6" s="105">
        <f>SUM(C7:C14)</f>
        <v>929553100.53622353</v>
      </c>
      <c r="D6" s="106">
        <f>SUM(D7:D14)</f>
        <v>755148797.63880002</v>
      </c>
      <c r="E6" s="105">
        <f>SUM(E7:E14)</f>
        <v>500000000.00099999</v>
      </c>
      <c r="F6" s="106">
        <f>SUM(F7:F14)</f>
        <v>999999999.99740005</v>
      </c>
    </row>
    <row r="7" spans="1:7" ht="18" customHeight="1" x14ac:dyDescent="0.25">
      <c r="A7" s="90"/>
      <c r="B7" s="100" t="s">
        <v>374</v>
      </c>
      <c r="C7" s="107">
        <v>634027439.9823705</v>
      </c>
      <c r="D7" s="93">
        <v>539873168.54790008</v>
      </c>
      <c r="E7" s="112">
        <v>203798450.08709997</v>
      </c>
      <c r="F7" s="93">
        <v>700000000</v>
      </c>
      <c r="G7" s="86"/>
    </row>
    <row r="8" spans="1:7" ht="18" customHeight="1" x14ac:dyDescent="0.25">
      <c r="A8" s="90"/>
      <c r="B8" s="100" t="s">
        <v>373</v>
      </c>
      <c r="C8" s="110">
        <v>41844110.640453003</v>
      </c>
      <c r="D8" s="93">
        <v>19164888.558000002</v>
      </c>
      <c r="E8" s="112">
        <v>42520000.000499994</v>
      </c>
      <c r="F8" s="93">
        <v>36183115.490000002</v>
      </c>
    </row>
    <row r="9" spans="1:7" ht="18" customHeight="1" x14ac:dyDescent="0.25">
      <c r="A9" s="90"/>
      <c r="B9" s="100" t="s">
        <v>167</v>
      </c>
      <c r="C9" s="110">
        <v>19800000</v>
      </c>
      <c r="D9" s="93">
        <v>13769682.35</v>
      </c>
      <c r="E9" s="113">
        <v>19800000</v>
      </c>
      <c r="F9" s="93">
        <v>19800000</v>
      </c>
    </row>
    <row r="10" spans="1:7" ht="30" x14ac:dyDescent="0.25">
      <c r="A10" s="90"/>
      <c r="B10" s="100" t="s">
        <v>372</v>
      </c>
      <c r="C10" s="110">
        <v>99864665.406000003</v>
      </c>
      <c r="D10" s="93">
        <v>59539964.142699994</v>
      </c>
      <c r="E10" s="113">
        <v>99864665.406000003</v>
      </c>
      <c r="F10" s="93">
        <v>100000000</v>
      </c>
    </row>
    <row r="11" spans="1:7" ht="30" x14ac:dyDescent="0.25">
      <c r="A11" s="90"/>
      <c r="B11" s="100" t="s">
        <v>168</v>
      </c>
      <c r="C11" s="110">
        <v>3984919.9433999998</v>
      </c>
      <c r="D11" s="93">
        <v>3492201.0717000002</v>
      </c>
      <c r="E11" s="113">
        <v>3984919.9433999998</v>
      </c>
      <c r="F11" s="93">
        <v>3984919.9433999998</v>
      </c>
    </row>
    <row r="12" spans="1:7" ht="18" customHeight="1" x14ac:dyDescent="0.25">
      <c r="A12" s="90"/>
      <c r="B12" s="100" t="s">
        <v>184</v>
      </c>
      <c r="C12" s="110">
        <v>115031964.56400001</v>
      </c>
      <c r="D12" s="93">
        <v>114613072.4516</v>
      </c>
      <c r="E12" s="114">
        <v>115031964.56400001</v>
      </c>
      <c r="F12" s="115">
        <v>115031964.56400001</v>
      </c>
    </row>
    <row r="13" spans="1:7" ht="30" customHeight="1" x14ac:dyDescent="0.25">
      <c r="A13" s="90"/>
      <c r="B13" s="100" t="s">
        <v>223</v>
      </c>
      <c r="C13" s="110">
        <v>10000000</v>
      </c>
      <c r="D13" s="93">
        <v>2717327.4068999998</v>
      </c>
      <c r="E13" s="107">
        <v>10000000</v>
      </c>
      <c r="F13" s="93">
        <v>15000000</v>
      </c>
    </row>
    <row r="14" spans="1:7" ht="30.75" thickBot="1" x14ac:dyDescent="0.3">
      <c r="A14" s="91"/>
      <c r="B14" s="101" t="s">
        <v>25</v>
      </c>
      <c r="C14" s="111">
        <v>5000000</v>
      </c>
      <c r="D14" s="94">
        <v>1978493.11</v>
      </c>
      <c r="E14" s="108">
        <v>5000000</v>
      </c>
      <c r="F14" s="94">
        <v>10000000</v>
      </c>
    </row>
    <row r="15" spans="1:7" ht="30" x14ac:dyDescent="0.25">
      <c r="A15" s="89" t="s">
        <v>244</v>
      </c>
      <c r="B15" s="99" t="str">
        <f>'целевые показатели'!B41</f>
        <v>Ремонт автомобильных дорог общего пользования местного значения и искусственных сооружений на них</v>
      </c>
      <c r="C15" s="109">
        <v>221092682.877</v>
      </c>
      <c r="D15" s="92">
        <v>63035149.939899996</v>
      </c>
      <c r="E15" s="96">
        <v>50320404.100000001</v>
      </c>
      <c r="F15" s="92">
        <v>350000000</v>
      </c>
      <c r="G15" s="86"/>
    </row>
    <row r="16" spans="1:7" ht="78" customHeight="1" x14ac:dyDescent="0.25">
      <c r="A16" s="90" t="s">
        <v>245</v>
      </c>
      <c r="B16" s="102" t="str">
        <f>'целевые показатели'!B139</f>
        <v>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v>
      </c>
      <c r="C16" s="110">
        <v>300000000</v>
      </c>
      <c r="D16" s="93">
        <v>242435652.06560001</v>
      </c>
      <c r="E16" s="110">
        <v>300000000</v>
      </c>
      <c r="F16" s="93"/>
    </row>
    <row r="17" spans="1:6" ht="30" x14ac:dyDescent="0.25">
      <c r="A17" s="90" t="s">
        <v>246</v>
      </c>
      <c r="B17" s="102" t="str">
        <f>'целевые показатели'!B169</f>
        <v>Устройство (монтаж) средств организации и регулирования дорожного движения на автомобильных дорогах города Орла</v>
      </c>
      <c r="C17" s="107">
        <v>0</v>
      </c>
      <c r="D17" s="93">
        <v>8268672.6999999993</v>
      </c>
      <c r="E17" s="97">
        <v>0</v>
      </c>
      <c r="F17" s="93">
        <v>20000000</v>
      </c>
    </row>
    <row r="18" spans="1:6" ht="105" x14ac:dyDescent="0.25">
      <c r="A18" s="90" t="s">
        <v>247</v>
      </c>
      <c r="B18" s="102" t="str">
        <f>'целевые показатели'!B205</f>
        <v>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а также Орловской городской агломерации на 2019-2024 годы" национального проекта "Безопасные и качественные автомобильные дороги"</v>
      </c>
      <c r="C18" s="107">
        <v>79600000</v>
      </c>
      <c r="D18" s="93"/>
      <c r="E18" s="97">
        <v>83239700</v>
      </c>
      <c r="F18" s="93"/>
    </row>
    <row r="19" spans="1:6" ht="30.75" thickBot="1" x14ac:dyDescent="0.3">
      <c r="A19" s="91" t="s">
        <v>375</v>
      </c>
      <c r="B19" s="103" t="str">
        <f>'целевые показатели'!B241</f>
        <v>Капитальный ремонт участков автомобильных дорог общего пользования местного значения в городе Орёл</v>
      </c>
      <c r="C19" s="111">
        <v>135364827.65300003</v>
      </c>
      <c r="D19" s="94">
        <v>34200000</v>
      </c>
      <c r="E19" s="98"/>
      <c r="F19" s="94"/>
    </row>
    <row r="21" spans="1:6" x14ac:dyDescent="0.25">
      <c r="C21" s="84"/>
    </row>
  </sheetData>
  <mergeCells count="4">
    <mergeCell ref="C4:D4"/>
    <mergeCell ref="A4:B5"/>
    <mergeCell ref="E4:F4"/>
    <mergeCell ref="B2:E2"/>
  </mergeCells>
  <pageMargins left="0.7" right="0.7" top="0.75" bottom="0.75" header="0.3" footer="0.3"/>
  <pageSetup paperSize="9" scale="6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D37"/>
  <sheetViews>
    <sheetView workbookViewId="0">
      <selection activeCell="G20" sqref="G20"/>
    </sheetView>
  </sheetViews>
  <sheetFormatPr defaultRowHeight="15.75" x14ac:dyDescent="0.25"/>
  <cols>
    <col min="1" max="1" width="56.28515625" style="116" customWidth="1"/>
    <col min="2" max="2" width="14.7109375" style="117" customWidth="1"/>
    <col min="3" max="3" width="20.140625" style="4" customWidth="1"/>
    <col min="4" max="16384" width="9.140625" style="4"/>
  </cols>
  <sheetData>
    <row r="4" spans="1:4" x14ac:dyDescent="0.25">
      <c r="A4" s="118" t="str">
        <f>'целевые показатели'!B40</f>
        <v xml:space="preserve">Основное мероприятие 2. </v>
      </c>
      <c r="B4" s="119"/>
      <c r="C4" s="120"/>
      <c r="D4" s="120"/>
    </row>
    <row r="5" spans="1:4" ht="47.25" x14ac:dyDescent="0.25">
      <c r="A5" s="118" t="str">
        <f>'целевые показатели'!B41</f>
        <v>Ремонт автомобильных дорог общего пользования местного значения и искусственных сооружений на них</v>
      </c>
      <c r="B5" s="119"/>
      <c r="C5" s="120"/>
      <c r="D5" s="120"/>
    </row>
    <row r="6" spans="1:4" x14ac:dyDescent="0.25">
      <c r="A6" s="121" t="str">
        <f>'целевые показатели'!B44</f>
        <v>ремонт моста "Тургеневский" через р.Орлик</v>
      </c>
      <c r="B6" s="119">
        <f>'целевые показатели'!I44</f>
        <v>12505.798720000001</v>
      </c>
      <c r="C6" s="120"/>
      <c r="D6" s="120"/>
    </row>
    <row r="7" spans="1:4" x14ac:dyDescent="0.25">
      <c r="A7" s="121" t="str">
        <f>'целевые показатели'!B45</f>
        <v>ул.Мостовая</v>
      </c>
      <c r="B7" s="119">
        <f>'целевые показатели'!I45</f>
        <v>38647.63392</v>
      </c>
      <c r="C7" s="827"/>
      <c r="D7" s="827"/>
    </row>
    <row r="8" spans="1:4" ht="31.5" x14ac:dyDescent="0.25">
      <c r="A8" s="121" t="str">
        <f>'целевые показатели'!B46</f>
        <v>ул.Генерала Родина на участке от ул.Мостовой до ул.Веселой</v>
      </c>
      <c r="B8" s="119">
        <f>'целевые показатели'!I46</f>
        <v>9261.9189200000001</v>
      </c>
      <c r="C8" s="828"/>
      <c r="D8" s="828"/>
    </row>
    <row r="9" spans="1:4" ht="31.5" x14ac:dyDescent="0.25">
      <c r="A9" s="121" t="str">
        <f>'целевые показатели'!B47</f>
        <v>Наугорское шоссе от ул. Лескова до ул. Скворцова (1 этап от ул.Лескова до ул.Цветаева)</v>
      </c>
      <c r="B9" s="119">
        <f>'целевые показатели'!I47</f>
        <v>11337.800439999992</v>
      </c>
      <c r="C9" s="828"/>
      <c r="D9" s="828"/>
    </row>
    <row r="10" spans="1:4" x14ac:dyDescent="0.25">
      <c r="A10" s="121" t="str">
        <f>'целевые показатели'!B48</f>
        <v>Кромской проезд</v>
      </c>
      <c r="B10" s="119">
        <f>'целевые показатели'!I48</f>
        <v>1703.5781199999999</v>
      </c>
      <c r="C10" s="120"/>
      <c r="D10" s="120"/>
    </row>
    <row r="11" spans="1:4" x14ac:dyDescent="0.25">
      <c r="A11" s="121" t="str">
        <f>'целевые показатели'!B49</f>
        <v xml:space="preserve">ул.Базовая </v>
      </c>
      <c r="B11" s="119">
        <f>'целевые показатели'!I49</f>
        <v>6061.13562</v>
      </c>
      <c r="C11" s="120"/>
      <c r="D11" s="120"/>
    </row>
    <row r="12" spans="1:4" x14ac:dyDescent="0.25">
      <c r="A12" s="121" t="str">
        <f>'целевые показатели'!B50</f>
        <v xml:space="preserve">ул.Комсомольская в районе д. 95 </v>
      </c>
      <c r="B12" s="119">
        <f>'целевые показатели'!I50</f>
        <v>6500</v>
      </c>
      <c r="C12" s="120"/>
      <c r="D12" s="120"/>
    </row>
    <row r="13" spans="1:4" ht="31.5" x14ac:dyDescent="0.25">
      <c r="A13" s="121" t="str">
        <f>'целевые показатели'!B51</f>
        <v>ул.МОПРа (от ул.Комсомольская до спец.пожарно-спасательной части ФПС по Орловской области)</v>
      </c>
      <c r="B13" s="119">
        <f>'целевые показатели'!I51</f>
        <v>8709.3001899999999</v>
      </c>
      <c r="C13" s="120"/>
      <c r="D13" s="120"/>
    </row>
    <row r="14" spans="1:4" ht="31.5" x14ac:dyDescent="0.25">
      <c r="A14" s="121" t="str">
        <f>'целевые показатели'!B52</f>
        <v>ремонт Комсомольской площади в районе м-на "ГАММА" (ул. Комсомольская д.102)</v>
      </c>
      <c r="B14" s="119">
        <f>'целевые показатели'!I52</f>
        <v>8580.8336600000002</v>
      </c>
      <c r="C14" s="120"/>
      <c r="D14" s="120"/>
    </row>
    <row r="15" spans="1:4" x14ac:dyDescent="0.25">
      <c r="A15" s="121" t="str">
        <f>'целевые показатели'!B53</f>
        <v>ул.Германо</v>
      </c>
      <c r="B15" s="119">
        <f>'целевые показатели'!I53</f>
        <v>15231.91966</v>
      </c>
      <c r="C15" s="827"/>
      <c r="D15" s="827"/>
    </row>
    <row r="16" spans="1:4" x14ac:dyDescent="0.25">
      <c r="A16" s="121" t="str">
        <f>'целевые показатели'!B54</f>
        <v>ул.Березовая</v>
      </c>
      <c r="B16" s="119">
        <f>'целевые показатели'!I54</f>
        <v>13849.912850000001</v>
      </c>
      <c r="C16" s="828"/>
      <c r="D16" s="828"/>
    </row>
    <row r="17" spans="1:4" x14ac:dyDescent="0.25">
      <c r="A17" s="121" t="str">
        <f>'целевые показатели'!B55</f>
        <v>пер.Ремонтный до ул.Паровозная</v>
      </c>
      <c r="B17" s="119">
        <f>'целевые показатели'!I55</f>
        <v>10413.80616</v>
      </c>
      <c r="C17" s="828"/>
      <c r="D17" s="828"/>
    </row>
    <row r="18" spans="1:4" x14ac:dyDescent="0.25">
      <c r="A18" s="121" t="str">
        <f>'целевые показатели'!B57</f>
        <v>устройство остановочных пунктов</v>
      </c>
      <c r="B18" s="119">
        <f>'целевые показатели'!I57</f>
        <v>0</v>
      </c>
      <c r="C18" s="120"/>
      <c r="D18" s="120"/>
    </row>
    <row r="19" spans="1:4" ht="31.5" x14ac:dyDescent="0.25">
      <c r="A19" s="121" t="str">
        <f>'целевые показатели'!B75</f>
        <v>Ремонт ул.Комсомольская (элементы обустройства автомобильных дорог)</v>
      </c>
      <c r="B19" s="119">
        <f>'целевые показатели'!I75</f>
        <v>693.9</v>
      </c>
      <c r="C19" s="120"/>
      <c r="D19" s="120"/>
    </row>
    <row r="20" spans="1:4" ht="31.5" x14ac:dyDescent="0.25">
      <c r="A20" s="121" t="str">
        <f>'целевые показатели'!B76</f>
        <v>Ремонт ул. Октябрьская (элементы обустройства автомобильных дорог)</v>
      </c>
      <c r="B20" s="119">
        <f>'целевые показатели'!I76</f>
        <v>488.3</v>
      </c>
      <c r="C20" s="120"/>
      <c r="D20" s="120"/>
    </row>
    <row r="21" spans="1:4" ht="31.5" x14ac:dyDescent="0.25">
      <c r="A21" s="121" t="str">
        <f>'целевые показатели'!B77</f>
        <v>Ремонт ул. 60-летия Октября (элементы обустройства автомобильных дорог)</v>
      </c>
      <c r="B21" s="119">
        <f>'целевые показатели'!I77</f>
        <v>128.5</v>
      </c>
      <c r="C21" s="120"/>
      <c r="D21" s="120"/>
    </row>
    <row r="22" spans="1:4" ht="31.5" x14ac:dyDescent="0.25">
      <c r="A22" s="121" t="str">
        <f>'целевые показатели'!B78</f>
        <v>Ремонт ул. Герцена (элементы обустройства автомобильных дорог)</v>
      </c>
      <c r="B22" s="119">
        <f>'целевые показатели'!I78</f>
        <v>77.099999999999994</v>
      </c>
      <c r="C22" s="120"/>
      <c r="D22" s="120"/>
    </row>
    <row r="23" spans="1:4" ht="31.5" x14ac:dyDescent="0.25">
      <c r="A23" s="121" t="str">
        <f>'целевые показатели'!B79</f>
        <v>Ремонт ул. Московская (элементы обустройства автомобильных дорог)</v>
      </c>
      <c r="B23" s="119">
        <f>'целевые показатели'!I79</f>
        <v>102.8</v>
      </c>
      <c r="C23" s="120"/>
      <c r="D23" s="120"/>
    </row>
    <row r="24" spans="1:4" ht="31.5" x14ac:dyDescent="0.25">
      <c r="A24" s="121" t="str">
        <f>'целевые показатели'!B82</f>
        <v>Ремонт Московское шоссе (элементы обустройства автомобильных дорог)</v>
      </c>
      <c r="B24" s="119">
        <f>'целевые показатели'!I82</f>
        <v>411.2</v>
      </c>
      <c r="C24" s="120"/>
      <c r="D24" s="120"/>
    </row>
    <row r="25" spans="1:4" ht="31.5" x14ac:dyDescent="0.25">
      <c r="A25" s="121" t="str">
        <f>'целевые показатели'!B83</f>
        <v>Ремонт ул. 5 Августа (элементы обустройства автомобильных дорог)</v>
      </c>
      <c r="B25" s="119">
        <f>'целевые показатели'!I83</f>
        <v>77.099999999999994</v>
      </c>
      <c r="C25" s="120"/>
      <c r="D25" s="120"/>
    </row>
    <row r="26" spans="1:4" ht="31.5" x14ac:dyDescent="0.25">
      <c r="A26" s="121" t="str">
        <f>'целевые показатели'!B84</f>
        <v>Ремонт ул. Горького (элементы обустройства автомобильных дорог)</v>
      </c>
      <c r="B26" s="119">
        <f>'целевые показатели'!I84</f>
        <v>102.8</v>
      </c>
      <c r="C26" s="120"/>
      <c r="D26" s="120"/>
    </row>
    <row r="27" spans="1:4" ht="31.5" x14ac:dyDescent="0.25">
      <c r="A27" s="121" t="str">
        <f>'целевые показатели'!B85</f>
        <v>Ремонт ул. Пушкина (элементы обустройства автомобильных дорог)</v>
      </c>
      <c r="B27" s="119">
        <f>'целевые показатели'!I85</f>
        <v>77.099999999999994</v>
      </c>
      <c r="C27" s="120"/>
      <c r="D27" s="120"/>
    </row>
    <row r="28" spans="1:4" ht="31.5" x14ac:dyDescent="0.25">
      <c r="A28" s="121" t="str">
        <f>'целевые показатели'!B86</f>
        <v>Ремонт ул. Металлургов (элементы обустройства автомобильных дорог)</v>
      </c>
      <c r="B28" s="119">
        <f>'целевые показатели'!I86</f>
        <v>77.099999999999994</v>
      </c>
      <c r="C28" s="120"/>
      <c r="D28" s="120"/>
    </row>
    <row r="29" spans="1:4" ht="31.5" x14ac:dyDescent="0.25">
      <c r="A29" s="121" t="str">
        <f>'целевые показатели'!B87</f>
        <v>Ремонт ул. Лескова (элементы обустройства автомобильных дорог)</v>
      </c>
      <c r="B29" s="119">
        <f>'целевые показатели'!I87</f>
        <v>154.19999999999999</v>
      </c>
      <c r="C29" s="120"/>
      <c r="D29" s="120"/>
    </row>
    <row r="30" spans="1:4" ht="31.5" x14ac:dyDescent="0.25">
      <c r="A30" s="121" t="str">
        <f>'целевые показатели'!B88</f>
        <v>Ремонт Наугорское шоссе (элементы обустройства автомобильных дорог)</v>
      </c>
      <c r="B30" s="119">
        <f>'целевые показатели'!I88</f>
        <v>77.099999999999994</v>
      </c>
      <c r="C30" s="120"/>
      <c r="D30" s="120"/>
    </row>
    <row r="31" spans="1:4" ht="31.5" x14ac:dyDescent="0.25">
      <c r="A31" s="121" t="str">
        <f>'целевые показатели'!B89</f>
        <v>Ремонт Карачевское шоссе (элементы обустройства автомобильных дорог)</v>
      </c>
      <c r="B31" s="119">
        <f>'целевые показатели'!I89</f>
        <v>25.7</v>
      </c>
      <c r="C31" s="120"/>
      <c r="D31" s="120"/>
    </row>
    <row r="32" spans="1:4" ht="31.5" x14ac:dyDescent="0.25">
      <c r="A32" s="121" t="str">
        <f>'целевые показатели'!B90</f>
        <v>Ремонт Новосильское шоссе (элементы обустройства автомобильных дорог)</v>
      </c>
      <c r="B32" s="119">
        <f>'целевые показатели'!I90</f>
        <v>25.7</v>
      </c>
      <c r="C32" s="120"/>
      <c r="D32" s="120"/>
    </row>
    <row r="33" spans="1:4" ht="31.5" x14ac:dyDescent="0.25">
      <c r="A33" s="121" t="str">
        <f>'целевые показатели'!B91</f>
        <v>Ремонт ул. Ливенская (элементы обустройства автомобильных дорог)</v>
      </c>
      <c r="B33" s="119">
        <f>'целевые показатели'!I91</f>
        <v>51.4</v>
      </c>
      <c r="C33" s="120"/>
      <c r="D33" s="120"/>
    </row>
    <row r="34" spans="1:4" x14ac:dyDescent="0.25">
      <c r="A34" s="121" t="e">
        <f>'целевые показатели'!#REF!</f>
        <v>#REF!</v>
      </c>
      <c r="B34" s="119" t="e">
        <f>'целевые показатели'!#REF!</f>
        <v>#REF!</v>
      </c>
      <c r="C34" s="120"/>
      <c r="D34" s="120"/>
    </row>
    <row r="35" spans="1:4" ht="31.5" x14ac:dyDescent="0.25">
      <c r="A35" s="121" t="str">
        <f>'целевые показатели'!B92</f>
        <v>Ремонт ул. Паровозная (элементы обустройства автомобильных дорог)</v>
      </c>
      <c r="B35" s="119">
        <f>'целевые показатели'!I92</f>
        <v>51.4</v>
      </c>
      <c r="C35" s="120"/>
      <c r="D35" s="120"/>
    </row>
    <row r="36" spans="1:4" x14ac:dyDescent="0.25">
      <c r="A36" s="121" t="e">
        <f>'целевые показатели'!#REF!</f>
        <v>#REF!</v>
      </c>
      <c r="B36" s="119" t="e">
        <f>'целевые показатели'!#REF!</f>
        <v>#REF!</v>
      </c>
      <c r="C36" s="120"/>
      <c r="D36" s="120"/>
    </row>
    <row r="37" spans="1:4" ht="31.5" x14ac:dyDescent="0.25">
      <c r="A37" s="121" t="str">
        <f>'целевые показатели'!B93</f>
        <v>Ремонт пер.Маслозаводской (элементы обустройства автомобильных дорог)</v>
      </c>
      <c r="B37" s="119">
        <f>'целевые показатели'!I93</f>
        <v>25.7</v>
      </c>
      <c r="C37" s="120"/>
      <c r="D37" s="120"/>
    </row>
  </sheetData>
  <mergeCells count="4">
    <mergeCell ref="C7:C9"/>
    <mergeCell ref="D7:D9"/>
    <mergeCell ref="C15:C17"/>
    <mergeCell ref="D15:D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493"/>
  <sheetViews>
    <sheetView tabSelected="1" showWhiteSpace="0" topLeftCell="A474" zoomScale="115" zoomScaleNormal="115" zoomScalePageLayoutView="64" workbookViewId="0">
      <selection activeCell="H19" sqref="H19"/>
    </sheetView>
  </sheetViews>
  <sheetFormatPr defaultRowHeight="15.75" outlineLevelRow="3" x14ac:dyDescent="0.25"/>
  <cols>
    <col min="1" max="1" width="7.7109375" style="85" customWidth="1"/>
    <col min="2" max="2" width="65" style="17" customWidth="1"/>
    <col min="3" max="7" width="19.7109375" style="17" customWidth="1"/>
    <col min="8" max="8" width="24" style="236" customWidth="1"/>
    <col min="9" max="9" width="28.42578125" style="236" customWidth="1"/>
    <col min="10" max="10" width="18.28515625" style="17" customWidth="1"/>
    <col min="11" max="11" width="23" style="17" customWidth="1"/>
    <col min="12" max="12" width="22.28515625" style="17" customWidth="1"/>
    <col min="13" max="13" width="20.140625" style="17" bestFit="1" customWidth="1"/>
    <col min="14" max="14" width="9.140625" style="17"/>
    <col min="15" max="15" width="12.5703125" style="17" bestFit="1" customWidth="1"/>
    <col min="16" max="16384" width="9.140625" style="17"/>
  </cols>
  <sheetData>
    <row r="1" spans="1:14" x14ac:dyDescent="0.25">
      <c r="C1" s="757" t="s">
        <v>263</v>
      </c>
      <c r="D1" s="758"/>
      <c r="E1" s="758"/>
      <c r="F1" s="758"/>
      <c r="G1" s="758"/>
    </row>
    <row r="2" spans="1:14" x14ac:dyDescent="0.25">
      <c r="C2" s="757" t="s">
        <v>135</v>
      </c>
      <c r="D2" s="758"/>
      <c r="E2" s="758"/>
      <c r="F2" s="758"/>
      <c r="G2" s="758"/>
    </row>
    <row r="3" spans="1:14" x14ac:dyDescent="0.25">
      <c r="C3" s="757" t="s">
        <v>125</v>
      </c>
      <c r="D3" s="758"/>
      <c r="E3" s="758"/>
      <c r="F3" s="758"/>
      <c r="G3" s="758"/>
    </row>
    <row r="4" spans="1:14" x14ac:dyDescent="0.25">
      <c r="C4" s="757" t="s">
        <v>879</v>
      </c>
      <c r="D4" s="758"/>
      <c r="E4" s="758"/>
      <c r="F4" s="758"/>
      <c r="G4" s="758"/>
    </row>
    <row r="6" spans="1:14" ht="18.75" x14ac:dyDescent="0.25">
      <c r="A6" s="314"/>
      <c r="B6" s="315"/>
      <c r="C6" s="651" t="s">
        <v>35</v>
      </c>
      <c r="D6" s="651"/>
      <c r="E6" s="651"/>
      <c r="F6" s="651"/>
      <c r="G6" s="651"/>
    </row>
    <row r="7" spans="1:14" ht="18.75" x14ac:dyDescent="0.25">
      <c r="A7" s="314"/>
      <c r="B7" s="315"/>
      <c r="C7" s="759" t="s">
        <v>144</v>
      </c>
      <c r="D7" s="651"/>
      <c r="E7" s="651"/>
      <c r="F7" s="651"/>
      <c r="G7" s="651"/>
    </row>
    <row r="8" spans="1:14" ht="18.75" x14ac:dyDescent="0.25">
      <c r="A8" s="314"/>
      <c r="B8" s="760" t="s">
        <v>87</v>
      </c>
      <c r="C8" s="761"/>
      <c r="D8" s="761"/>
      <c r="E8" s="761"/>
      <c r="F8" s="761"/>
      <c r="G8" s="761"/>
    </row>
    <row r="9" spans="1:14" x14ac:dyDescent="0.25">
      <c r="A9" s="314"/>
      <c r="B9" s="315"/>
      <c r="C9" s="315"/>
      <c r="D9" s="315"/>
      <c r="E9" s="315"/>
      <c r="F9" s="315"/>
      <c r="G9" s="315"/>
    </row>
    <row r="10" spans="1:14" ht="21" x14ac:dyDescent="0.25">
      <c r="A10" s="223"/>
      <c r="B10" s="315"/>
      <c r="C10" s="315"/>
      <c r="D10" s="315"/>
      <c r="E10" s="315"/>
      <c r="F10" s="315"/>
      <c r="G10" s="315"/>
      <c r="K10" s="127"/>
      <c r="L10" s="317"/>
      <c r="M10" s="317"/>
      <c r="N10" s="317"/>
    </row>
    <row r="11" spans="1:14" ht="21" x14ac:dyDescent="0.25">
      <c r="A11" s="651" t="s">
        <v>36</v>
      </c>
      <c r="B11" s="651"/>
      <c r="C11" s="651"/>
      <c r="D11" s="651"/>
      <c r="E11" s="651"/>
      <c r="F11" s="651"/>
      <c r="G11" s="651"/>
      <c r="K11" s="127"/>
      <c r="L11" s="317"/>
      <c r="M11" s="317"/>
      <c r="N11" s="317"/>
    </row>
    <row r="12" spans="1:14" ht="21" x14ac:dyDescent="0.25">
      <c r="A12" s="651" t="s">
        <v>150</v>
      </c>
      <c r="B12" s="651"/>
      <c r="C12" s="651"/>
      <c r="D12" s="651"/>
      <c r="E12" s="651"/>
      <c r="F12" s="651"/>
      <c r="G12" s="651"/>
      <c r="J12" s="86"/>
      <c r="K12" s="127"/>
      <c r="L12" s="317"/>
      <c r="M12" s="317"/>
      <c r="N12" s="317"/>
    </row>
    <row r="13" spans="1:14" ht="21" x14ac:dyDescent="0.25">
      <c r="A13" s="651" t="s">
        <v>149</v>
      </c>
      <c r="B13" s="651"/>
      <c r="C13" s="651"/>
      <c r="D13" s="651"/>
      <c r="E13" s="651"/>
      <c r="F13" s="651"/>
      <c r="G13" s="651"/>
      <c r="J13" s="86"/>
      <c r="K13" s="127"/>
      <c r="L13" s="317"/>
      <c r="M13" s="317"/>
      <c r="N13" s="317"/>
    </row>
    <row r="14" spans="1:14" ht="16.5" thickBot="1" x14ac:dyDescent="0.3">
      <c r="A14" s="3"/>
      <c r="B14" s="315"/>
      <c r="C14" s="315"/>
      <c r="D14" s="315"/>
      <c r="E14" s="315"/>
      <c r="F14" s="315"/>
      <c r="G14" s="315"/>
    </row>
    <row r="15" spans="1:14" ht="28.5" x14ac:dyDescent="0.25">
      <c r="A15" s="765" t="s">
        <v>37</v>
      </c>
      <c r="B15" s="767" t="s">
        <v>38</v>
      </c>
      <c r="C15" s="318" t="s">
        <v>39</v>
      </c>
      <c r="D15" s="767" t="s">
        <v>40</v>
      </c>
      <c r="E15" s="767" t="s">
        <v>506</v>
      </c>
      <c r="F15" s="767" t="s">
        <v>712</v>
      </c>
      <c r="G15" s="769" t="s">
        <v>41</v>
      </c>
    </row>
    <row r="16" spans="1:14" ht="26.25" customHeight="1" x14ac:dyDescent="0.25">
      <c r="A16" s="766"/>
      <c r="B16" s="768"/>
      <c r="C16" s="320" t="s">
        <v>42</v>
      </c>
      <c r="D16" s="768"/>
      <c r="E16" s="768"/>
      <c r="F16" s="768"/>
      <c r="G16" s="770"/>
    </row>
    <row r="17" spans="1:13" x14ac:dyDescent="0.25">
      <c r="A17" s="319" t="s">
        <v>43</v>
      </c>
      <c r="B17" s="320">
        <v>2</v>
      </c>
      <c r="C17" s="320">
        <v>3</v>
      </c>
      <c r="D17" s="320">
        <v>4</v>
      </c>
      <c r="E17" s="320">
        <v>5</v>
      </c>
      <c r="F17" s="320">
        <v>6</v>
      </c>
      <c r="G17" s="224">
        <v>7</v>
      </c>
    </row>
    <row r="18" spans="1:13" ht="18" customHeight="1" outlineLevel="1" x14ac:dyDescent="0.25">
      <c r="A18" s="762" t="s">
        <v>6</v>
      </c>
      <c r="B18" s="763"/>
      <c r="C18" s="763"/>
      <c r="D18" s="763"/>
      <c r="E18" s="763"/>
      <c r="F18" s="763"/>
      <c r="G18" s="764"/>
    </row>
    <row r="19" spans="1:13" outlineLevel="1" x14ac:dyDescent="0.25">
      <c r="A19" s="319">
        <v>1</v>
      </c>
      <c r="B19" s="321" t="s">
        <v>44</v>
      </c>
      <c r="C19" s="322">
        <f>SUM(C21:C31)</f>
        <v>1062659.9307446496</v>
      </c>
      <c r="D19" s="322">
        <f>SUM(D21:D31)</f>
        <v>0</v>
      </c>
      <c r="E19" s="322">
        <f>SUM(E21:E31)</f>
        <v>0</v>
      </c>
      <c r="F19" s="322">
        <f>SUM(F21:F31)</f>
        <v>1039640.6447488029</v>
      </c>
      <c r="G19" s="323">
        <f>SUM(G21:G31)</f>
        <v>23019.285995846807</v>
      </c>
    </row>
    <row r="20" spans="1:13" outlineLevel="1" x14ac:dyDescent="0.25">
      <c r="A20" s="324" t="s">
        <v>45</v>
      </c>
      <c r="B20" s="325" t="s">
        <v>166</v>
      </c>
      <c r="C20" s="326">
        <v>851316.32318794972</v>
      </c>
      <c r="D20" s="327">
        <v>0</v>
      </c>
      <c r="E20" s="327">
        <v>0</v>
      </c>
      <c r="F20" s="327">
        <v>835305.12830766989</v>
      </c>
      <c r="G20" s="328">
        <v>16011.194880279811</v>
      </c>
      <c r="J20" s="329"/>
    </row>
    <row r="21" spans="1:13" s="334" customFormat="1" ht="15.75" customHeight="1" outlineLevel="1" x14ac:dyDescent="0.25">
      <c r="A21" s="330" t="s">
        <v>170</v>
      </c>
      <c r="B21" s="241" t="s">
        <v>167</v>
      </c>
      <c r="C21" s="242">
        <v>20000</v>
      </c>
      <c r="D21" s="331">
        <v>0</v>
      </c>
      <c r="E21" s="331">
        <v>0</v>
      </c>
      <c r="F21" s="331">
        <v>19800</v>
      </c>
      <c r="G21" s="332">
        <v>200</v>
      </c>
      <c r="H21" s="333"/>
      <c r="I21" s="626"/>
    </row>
    <row r="22" spans="1:13" s="334" customFormat="1" ht="31.5" outlineLevel="1" x14ac:dyDescent="0.25">
      <c r="A22" s="330" t="s">
        <v>171</v>
      </c>
      <c r="B22" s="241" t="s">
        <v>176</v>
      </c>
      <c r="C22" s="242">
        <v>100873.39939999999</v>
      </c>
      <c r="D22" s="331">
        <v>0</v>
      </c>
      <c r="E22" s="331">
        <v>0</v>
      </c>
      <c r="F22" s="331">
        <v>99864.665406</v>
      </c>
      <c r="G22" s="332">
        <v>1008.7339939999947</v>
      </c>
      <c r="H22" s="333"/>
      <c r="I22" s="626"/>
      <c r="J22" s="335"/>
    </row>
    <row r="23" spans="1:13" s="334" customFormat="1" ht="31.5" outlineLevel="1" x14ac:dyDescent="0.25">
      <c r="A23" s="330" t="s">
        <v>172</v>
      </c>
      <c r="B23" s="241" t="s">
        <v>168</v>
      </c>
      <c r="C23" s="242">
        <v>4025.17166</v>
      </c>
      <c r="D23" s="331">
        <v>0</v>
      </c>
      <c r="E23" s="331">
        <v>0</v>
      </c>
      <c r="F23" s="331">
        <v>3984.9199433999997</v>
      </c>
      <c r="G23" s="332">
        <v>40.251716600000236</v>
      </c>
      <c r="H23" s="333"/>
      <c r="I23" s="626"/>
      <c r="J23" s="335"/>
      <c r="K23" s="335"/>
    </row>
    <row r="24" spans="1:13" s="334" customFormat="1" ht="47.25" outlineLevel="1" x14ac:dyDescent="0.25">
      <c r="A24" s="330" t="s">
        <v>173</v>
      </c>
      <c r="B24" s="336" t="s">
        <v>637</v>
      </c>
      <c r="C24" s="242">
        <v>141.96841000000001</v>
      </c>
      <c r="D24" s="331">
        <v>0</v>
      </c>
      <c r="E24" s="331">
        <v>0</v>
      </c>
      <c r="F24" s="331">
        <v>0</v>
      </c>
      <c r="G24" s="337">
        <v>141.96841000000001</v>
      </c>
      <c r="H24" s="333"/>
      <c r="I24" s="333"/>
      <c r="J24" s="335"/>
      <c r="K24" s="335"/>
    </row>
    <row r="25" spans="1:13" s="334" customFormat="1" ht="15.75" customHeight="1" outlineLevel="1" x14ac:dyDescent="0.25">
      <c r="A25" s="330" t="s">
        <v>384</v>
      </c>
      <c r="B25" s="241" t="s">
        <v>169</v>
      </c>
      <c r="C25" s="242">
        <v>726275.78371794976</v>
      </c>
      <c r="D25" s="331">
        <v>0</v>
      </c>
      <c r="E25" s="331">
        <v>0</v>
      </c>
      <c r="F25" s="331">
        <v>711655.54295826994</v>
      </c>
      <c r="G25" s="332">
        <v>14620.240759679815</v>
      </c>
      <c r="H25" s="338"/>
      <c r="I25" s="338"/>
      <c r="J25" s="339"/>
      <c r="K25" s="335"/>
    </row>
    <row r="26" spans="1:13" outlineLevel="1" x14ac:dyDescent="0.25">
      <c r="A26" s="324" t="s">
        <v>46</v>
      </c>
      <c r="B26" s="325" t="s">
        <v>175</v>
      </c>
      <c r="C26" s="326">
        <v>42266.778424700002</v>
      </c>
      <c r="D26" s="327">
        <v>0</v>
      </c>
      <c r="E26" s="327">
        <v>0</v>
      </c>
      <c r="F26" s="327">
        <v>41844.110640453</v>
      </c>
      <c r="G26" s="328">
        <v>422.66778424700169</v>
      </c>
      <c r="H26" s="338"/>
      <c r="J26" s="329"/>
    </row>
    <row r="27" spans="1:13" ht="16.5" outlineLevel="1" x14ac:dyDescent="0.25">
      <c r="A27" s="324" t="s">
        <v>47</v>
      </c>
      <c r="B27" s="340" t="s">
        <v>184</v>
      </c>
      <c r="C27" s="326">
        <v>116193.90360000001</v>
      </c>
      <c r="D27" s="327">
        <v>0</v>
      </c>
      <c r="E27" s="327">
        <v>0</v>
      </c>
      <c r="F27" s="327">
        <v>115031.96456400001</v>
      </c>
      <c r="G27" s="328">
        <v>1161.9390359999961</v>
      </c>
      <c r="H27" s="338"/>
      <c r="J27" s="341"/>
      <c r="K27" s="342"/>
    </row>
    <row r="28" spans="1:13" ht="47.25" outlineLevel="1" x14ac:dyDescent="0.25">
      <c r="A28" s="324" t="s">
        <v>48</v>
      </c>
      <c r="B28" s="18" t="s">
        <v>174</v>
      </c>
      <c r="C28" s="326">
        <f>16412.286012+12121.21212</f>
        <v>28533.498132000001</v>
      </c>
      <c r="D28" s="327">
        <v>0</v>
      </c>
      <c r="E28" s="327">
        <v>0</v>
      </c>
      <c r="F28" s="343">
        <f>C28*0.99</f>
        <v>28248.16315068</v>
      </c>
      <c r="G28" s="328">
        <f>C28-F28</f>
        <v>285.33498132000022</v>
      </c>
      <c r="H28" s="338"/>
      <c r="I28" s="59"/>
      <c r="J28" s="316"/>
      <c r="K28" s="237"/>
    </row>
    <row r="29" spans="1:13" ht="31.5" outlineLevel="1" x14ac:dyDescent="0.25">
      <c r="A29" s="324" t="s">
        <v>49</v>
      </c>
      <c r="B29" s="344" t="s">
        <v>25</v>
      </c>
      <c r="C29" s="326">
        <v>9090.9090899999992</v>
      </c>
      <c r="D29" s="327">
        <v>0</v>
      </c>
      <c r="E29" s="327">
        <v>0</v>
      </c>
      <c r="F29" s="327">
        <v>8999.9999990999986</v>
      </c>
      <c r="G29" s="328">
        <v>90.909090900000592</v>
      </c>
      <c r="H29" s="338"/>
      <c r="I29" s="345"/>
      <c r="J29" s="346"/>
      <c r="K29" s="755"/>
      <c r="L29" s="756"/>
    </row>
    <row r="30" spans="1:13" ht="16.5" outlineLevel="1" x14ac:dyDescent="0.25">
      <c r="A30" s="324" t="s">
        <v>188</v>
      </c>
      <c r="B30" s="347" t="s">
        <v>154</v>
      </c>
      <c r="C30" s="326">
        <v>4944.0959999999995</v>
      </c>
      <c r="D30" s="327">
        <v>0</v>
      </c>
      <c r="E30" s="327">
        <v>0</v>
      </c>
      <c r="F30" s="327">
        <v>0</v>
      </c>
      <c r="G30" s="328">
        <v>4944.0959999999995</v>
      </c>
      <c r="J30" s="237"/>
      <c r="K30" s="237"/>
    </row>
    <row r="31" spans="1:13" ht="16.5" outlineLevel="1" x14ac:dyDescent="0.25">
      <c r="A31" s="324" t="s">
        <v>188</v>
      </c>
      <c r="B31" s="229" t="s">
        <v>73</v>
      </c>
      <c r="C31" s="326">
        <v>10314.42231</v>
      </c>
      <c r="D31" s="327">
        <v>0</v>
      </c>
      <c r="E31" s="327">
        <v>0</v>
      </c>
      <c r="F31" s="327">
        <v>10211.2780869</v>
      </c>
      <c r="G31" s="328">
        <v>103.14422310000009</v>
      </c>
      <c r="I31" s="348"/>
      <c r="J31" s="346"/>
      <c r="K31" s="349"/>
      <c r="M31" s="346"/>
    </row>
    <row r="32" spans="1:13" ht="31.5" outlineLevel="1" x14ac:dyDescent="0.25">
      <c r="A32" s="319" t="s">
        <v>50</v>
      </c>
      <c r="B32" s="321" t="s">
        <v>15</v>
      </c>
      <c r="C32" s="322">
        <f>SUM(C33:C81)</f>
        <v>226895.60840999999</v>
      </c>
      <c r="D32" s="322">
        <f>SUM(D33:D80)</f>
        <v>0</v>
      </c>
      <c r="E32" s="322">
        <f>SUM(E33:E80)</f>
        <v>0</v>
      </c>
      <c r="F32" s="322">
        <f>SUM(F33:F81)</f>
        <v>215554.46233860002</v>
      </c>
      <c r="G32" s="323">
        <f>SUM(G33:G81)</f>
        <v>11341.146071400002</v>
      </c>
      <c r="I32" s="348"/>
      <c r="J32" s="350"/>
      <c r="K32" s="349"/>
      <c r="L32" s="349"/>
      <c r="M32" s="349"/>
    </row>
    <row r="33" spans="1:15" ht="16.5" outlineLevel="1" x14ac:dyDescent="0.25">
      <c r="A33" s="351" t="s">
        <v>57</v>
      </c>
      <c r="B33" s="229" t="str">
        <f>'целевые показатели'!B44</f>
        <v>ремонт моста "Тургеневский" через р.Орлик</v>
      </c>
      <c r="C33" s="326">
        <v>12505.798720000001</v>
      </c>
      <c r="D33" s="327">
        <v>0</v>
      </c>
      <c r="E33" s="327">
        <v>0</v>
      </c>
      <c r="F33" s="327">
        <v>12380.740732800001</v>
      </c>
      <c r="G33" s="328">
        <v>125.05798719999984</v>
      </c>
      <c r="J33" s="85"/>
      <c r="K33" s="352"/>
      <c r="L33" s="237"/>
      <c r="M33" s="349"/>
      <c r="O33" s="350"/>
    </row>
    <row r="34" spans="1:15" ht="16.5" outlineLevel="1" x14ac:dyDescent="0.25">
      <c r="A34" s="351" t="s">
        <v>58</v>
      </c>
      <c r="B34" s="229" t="s">
        <v>151</v>
      </c>
      <c r="C34" s="326">
        <v>38647.63392</v>
      </c>
      <c r="D34" s="327">
        <v>0</v>
      </c>
      <c r="E34" s="327">
        <v>0</v>
      </c>
      <c r="F34" s="327">
        <v>38261.157580799998</v>
      </c>
      <c r="G34" s="328">
        <v>386.47633920000226</v>
      </c>
      <c r="J34" s="353"/>
      <c r="K34" s="354"/>
    </row>
    <row r="35" spans="1:15" ht="19.5" customHeight="1" outlineLevel="1" x14ac:dyDescent="0.25">
      <c r="A35" s="351" t="s">
        <v>59</v>
      </c>
      <c r="B35" s="229" t="s">
        <v>152</v>
      </c>
      <c r="C35" s="326">
        <v>9261.9189200000001</v>
      </c>
      <c r="D35" s="327">
        <v>0</v>
      </c>
      <c r="E35" s="327">
        <v>0</v>
      </c>
      <c r="F35" s="327">
        <v>9169.2997307999995</v>
      </c>
      <c r="G35" s="328">
        <v>92.619189200000619</v>
      </c>
      <c r="J35" s="353"/>
      <c r="K35" s="350"/>
      <c r="L35" s="350"/>
      <c r="M35" s="350"/>
    </row>
    <row r="36" spans="1:15" s="359" customFormat="1" ht="33" outlineLevel="1" x14ac:dyDescent="0.25">
      <c r="A36" s="351" t="s">
        <v>60</v>
      </c>
      <c r="B36" s="229" t="s">
        <v>267</v>
      </c>
      <c r="C36" s="326">
        <v>11337.800439999992</v>
      </c>
      <c r="D36" s="355">
        <v>0</v>
      </c>
      <c r="E36" s="355">
        <v>0</v>
      </c>
      <c r="F36" s="355">
        <v>11224.422435599992</v>
      </c>
      <c r="G36" s="356">
        <v>113.37800439999955</v>
      </c>
      <c r="H36" s="357"/>
      <c r="I36" s="357"/>
      <c r="J36" s="358"/>
      <c r="K36" s="358"/>
      <c r="L36" s="358"/>
    </row>
    <row r="37" spans="1:15" ht="16.5" outlineLevel="1" x14ac:dyDescent="0.25">
      <c r="A37" s="351" t="s">
        <v>61</v>
      </c>
      <c r="B37" s="229" t="str">
        <f>'целевые показатели'!B48</f>
        <v>Кромской проезд</v>
      </c>
      <c r="C37" s="326">
        <v>1703.5781199999999</v>
      </c>
      <c r="D37" s="327">
        <v>0</v>
      </c>
      <c r="E37" s="327">
        <v>0</v>
      </c>
      <c r="F37" s="327">
        <v>1686.5423387999999</v>
      </c>
      <c r="G37" s="328">
        <v>17.035781199999974</v>
      </c>
      <c r="J37" s="237"/>
      <c r="K37" s="237"/>
    </row>
    <row r="38" spans="1:15" ht="16.5" outlineLevel="1" x14ac:dyDescent="0.25">
      <c r="A38" s="351">
        <v>45475</v>
      </c>
      <c r="B38" s="229" t="str">
        <f>'целевые показатели'!B49</f>
        <v xml:space="preserve">ул.Базовая </v>
      </c>
      <c r="C38" s="361">
        <v>6061.13562</v>
      </c>
      <c r="D38" s="327">
        <v>0</v>
      </c>
      <c r="E38" s="327">
        <v>0</v>
      </c>
      <c r="F38" s="327">
        <v>6000.5242638</v>
      </c>
      <c r="G38" s="328">
        <v>60.611356200000046</v>
      </c>
      <c r="J38" s="237"/>
      <c r="K38" s="237"/>
    </row>
    <row r="39" spans="1:15" s="364" customFormat="1" ht="16.5" outlineLevel="1" x14ac:dyDescent="0.25">
      <c r="A39" s="351" t="s">
        <v>62</v>
      </c>
      <c r="B39" s="229" t="str">
        <f>'целевые показатели'!B50</f>
        <v xml:space="preserve">ул.Комсомольская в районе д. 95 </v>
      </c>
      <c r="C39" s="361">
        <v>6500</v>
      </c>
      <c r="D39" s="327">
        <v>0</v>
      </c>
      <c r="E39" s="327">
        <v>0</v>
      </c>
      <c r="F39" s="327">
        <v>6435</v>
      </c>
      <c r="G39" s="328">
        <v>65</v>
      </c>
      <c r="H39" s="236"/>
      <c r="I39" s="236"/>
      <c r="J39" s="362"/>
      <c r="K39" s="363"/>
    </row>
    <row r="40" spans="1:15" ht="33" outlineLevel="1" x14ac:dyDescent="0.25">
      <c r="A40" s="351" t="s">
        <v>63</v>
      </c>
      <c r="B40" s="229" t="str">
        <f>'целевые показатели'!B51</f>
        <v>ул.МОПРа (от ул.Комсомольская до спец.пожарно-спасательной части ФПС по Орловской области)</v>
      </c>
      <c r="C40" s="326">
        <v>8709.3001899999999</v>
      </c>
      <c r="D40" s="327">
        <v>0</v>
      </c>
      <c r="E40" s="327">
        <v>0</v>
      </c>
      <c r="F40" s="327">
        <v>8622.2071880999993</v>
      </c>
      <c r="G40" s="328">
        <v>87.093001900000672</v>
      </c>
      <c r="J40" s="362"/>
      <c r="K40" s="365"/>
      <c r="L40" s="236"/>
      <c r="M40" s="236"/>
      <c r="N40" s="236"/>
      <c r="O40" s="236"/>
    </row>
    <row r="41" spans="1:15" ht="33" outlineLevel="1" x14ac:dyDescent="0.25">
      <c r="A41" s="351" t="s">
        <v>64</v>
      </c>
      <c r="B41" s="229" t="str">
        <f>'целевые показатели'!B52</f>
        <v>ремонт Комсомольской площади в районе м-на "ГАММА" (ул. Комсомольская д.102)</v>
      </c>
      <c r="C41" s="326">
        <v>8580.8336600000002</v>
      </c>
      <c r="D41" s="327">
        <v>0</v>
      </c>
      <c r="E41" s="327">
        <v>0</v>
      </c>
      <c r="F41" s="327">
        <v>8495.0253233999993</v>
      </c>
      <c r="G41" s="328">
        <v>85.808336600000985</v>
      </c>
      <c r="J41" s="236"/>
      <c r="K41" s="236"/>
      <c r="L41" s="236"/>
      <c r="M41" s="236"/>
      <c r="N41" s="236"/>
      <c r="O41" s="236"/>
    </row>
    <row r="42" spans="1:15" ht="16.5" outlineLevel="1" x14ac:dyDescent="0.25">
      <c r="A42" s="351" t="s">
        <v>65</v>
      </c>
      <c r="B42" s="229" t="str">
        <f>'целевые показатели'!B53</f>
        <v>ул.Германо</v>
      </c>
      <c r="C42" s="326">
        <v>15231.91966</v>
      </c>
      <c r="D42" s="327">
        <v>0</v>
      </c>
      <c r="E42" s="327">
        <v>0</v>
      </c>
      <c r="F42" s="327">
        <v>15079.6004634</v>
      </c>
      <c r="G42" s="328">
        <v>152.31919659999949</v>
      </c>
      <c r="J42" s="236"/>
      <c r="K42" s="236"/>
      <c r="L42" s="236"/>
      <c r="M42" s="236"/>
      <c r="N42" s="236"/>
      <c r="O42" s="236"/>
    </row>
    <row r="43" spans="1:15" ht="16.5" outlineLevel="1" x14ac:dyDescent="0.25">
      <c r="A43" s="351" t="s">
        <v>66</v>
      </c>
      <c r="B43" s="229" t="str">
        <f>'целевые показатели'!B54</f>
        <v>ул.Березовая</v>
      </c>
      <c r="C43" s="326">
        <v>13849.912850000001</v>
      </c>
      <c r="D43" s="327">
        <v>0</v>
      </c>
      <c r="E43" s="327">
        <v>0</v>
      </c>
      <c r="F43" s="327">
        <v>13711.413721500001</v>
      </c>
      <c r="G43" s="328">
        <v>138.49912849999964</v>
      </c>
      <c r="J43" s="236"/>
      <c r="K43" s="236"/>
      <c r="L43" s="236"/>
      <c r="M43" s="236"/>
      <c r="N43" s="236"/>
      <c r="O43" s="236"/>
    </row>
    <row r="44" spans="1:15" ht="16.5" outlineLevel="1" x14ac:dyDescent="0.25">
      <c r="A44" s="351" t="s">
        <v>67</v>
      </c>
      <c r="B44" s="229" t="str">
        <f>'целевые показатели'!B55</f>
        <v>пер.Ремонтный до ул.Паровозная</v>
      </c>
      <c r="C44" s="326">
        <v>10413.80616</v>
      </c>
      <c r="D44" s="327">
        <v>0</v>
      </c>
      <c r="E44" s="327">
        <v>0</v>
      </c>
      <c r="F44" s="327">
        <v>10309.6680984</v>
      </c>
      <c r="G44" s="328">
        <v>104.13806160000058</v>
      </c>
      <c r="J44" s="236"/>
      <c r="K44" s="236"/>
      <c r="L44" s="236"/>
      <c r="M44" s="236"/>
      <c r="N44" s="236"/>
      <c r="O44" s="236"/>
    </row>
    <row r="45" spans="1:15" s="342" customFormat="1" ht="120.75" customHeight="1" outlineLevel="1" x14ac:dyDescent="0.25">
      <c r="A45" s="351" t="s">
        <v>201</v>
      </c>
      <c r="B45" s="347" t="s">
        <v>403</v>
      </c>
      <c r="C45" s="326">
        <v>4069.5383900000002</v>
      </c>
      <c r="D45" s="343">
        <v>0</v>
      </c>
      <c r="E45" s="343">
        <v>0</v>
      </c>
      <c r="F45" s="343">
        <v>0</v>
      </c>
      <c r="G45" s="239">
        <v>4069.5383900000002</v>
      </c>
      <c r="H45" s="238"/>
      <c r="I45" s="238"/>
      <c r="J45" s="238"/>
      <c r="K45" s="236"/>
      <c r="L45" s="238"/>
      <c r="M45" s="238"/>
      <c r="N45" s="238"/>
      <c r="O45" s="238"/>
    </row>
    <row r="46" spans="1:15" s="342" customFormat="1" ht="33" hidden="1" outlineLevel="2" x14ac:dyDescent="0.25">
      <c r="A46" s="351"/>
      <c r="B46" s="366" t="str">
        <f>'целевые показатели'!B75</f>
        <v>Ремонт ул.Комсомольская (элементы обустройства автомобильных дорог)</v>
      </c>
      <c r="C46" s="326">
        <v>0</v>
      </c>
      <c r="D46" s="327">
        <v>0</v>
      </c>
      <c r="E46" s="327">
        <v>0</v>
      </c>
      <c r="F46" s="327">
        <v>0</v>
      </c>
      <c r="G46" s="328">
        <v>0</v>
      </c>
      <c r="H46" s="238"/>
      <c r="I46" s="238"/>
      <c r="J46" s="238"/>
      <c r="K46" s="236"/>
      <c r="L46" s="238"/>
      <c r="M46" s="238"/>
      <c r="N46" s="238"/>
      <c r="O46" s="238"/>
    </row>
    <row r="47" spans="1:15" s="342" customFormat="1" ht="33" outlineLevel="1" collapsed="1" x14ac:dyDescent="0.25">
      <c r="A47" s="351" t="s">
        <v>395</v>
      </c>
      <c r="B47" s="366" t="str">
        <f>'целевые показатели'!B75</f>
        <v>Ремонт ул.Комсомольская (элементы обустройства автомобильных дорог)</v>
      </c>
      <c r="C47" s="326">
        <v>693.9</v>
      </c>
      <c r="D47" s="327">
        <v>0</v>
      </c>
      <c r="E47" s="327">
        <v>0</v>
      </c>
      <c r="F47" s="327">
        <v>686.96100000000001</v>
      </c>
      <c r="G47" s="328">
        <v>6.9389999999999645</v>
      </c>
      <c r="H47" s="238"/>
      <c r="I47" s="238"/>
      <c r="J47" s="238"/>
      <c r="K47" s="236"/>
      <c r="L47" s="238"/>
      <c r="M47" s="238"/>
      <c r="N47" s="238"/>
      <c r="O47" s="238"/>
    </row>
    <row r="48" spans="1:15" s="342" customFormat="1" ht="33" outlineLevel="1" x14ac:dyDescent="0.25">
      <c r="A48" s="351" t="s">
        <v>202</v>
      </c>
      <c r="B48" s="366" t="str">
        <f>'целевые показатели'!B76</f>
        <v>Ремонт ул. Октябрьская (элементы обустройства автомобильных дорог)</v>
      </c>
      <c r="C48" s="326">
        <v>488.3</v>
      </c>
      <c r="D48" s="327">
        <v>0</v>
      </c>
      <c r="E48" s="327">
        <v>0</v>
      </c>
      <c r="F48" s="327">
        <v>483.41700000000003</v>
      </c>
      <c r="G48" s="328">
        <v>4.8829999999999814</v>
      </c>
      <c r="H48" s="238"/>
      <c r="I48" s="238"/>
      <c r="J48" s="238"/>
      <c r="K48" s="236"/>
      <c r="L48" s="238"/>
      <c r="M48" s="238"/>
      <c r="N48" s="238"/>
      <c r="O48" s="238"/>
    </row>
    <row r="49" spans="1:15" s="342" customFormat="1" ht="33" outlineLevel="1" x14ac:dyDescent="0.25">
      <c r="A49" s="351" t="s">
        <v>203</v>
      </c>
      <c r="B49" s="366" t="str">
        <f>'целевые показатели'!B77</f>
        <v>Ремонт ул. 60-летия Октября (элементы обустройства автомобильных дорог)</v>
      </c>
      <c r="C49" s="326">
        <v>128.5</v>
      </c>
      <c r="D49" s="327">
        <v>0</v>
      </c>
      <c r="E49" s="327">
        <v>0</v>
      </c>
      <c r="F49" s="327">
        <v>127.215</v>
      </c>
      <c r="G49" s="328">
        <v>1.2849999999999966</v>
      </c>
      <c r="H49" s="238"/>
      <c r="I49" s="238"/>
      <c r="J49" s="238"/>
      <c r="K49" s="236"/>
      <c r="L49" s="238"/>
      <c r="M49" s="238"/>
      <c r="N49" s="238"/>
      <c r="O49" s="238"/>
    </row>
    <row r="50" spans="1:15" s="342" customFormat="1" ht="33" outlineLevel="1" x14ac:dyDescent="0.25">
      <c r="A50" s="351" t="s">
        <v>211</v>
      </c>
      <c r="B50" s="366" t="str">
        <f>'целевые показатели'!B88</f>
        <v>Ремонт Наугорское шоссе (элементы обустройства автомобильных дорог)</v>
      </c>
      <c r="C50" s="367">
        <v>77.099999999999994</v>
      </c>
      <c r="D50" s="343">
        <v>0</v>
      </c>
      <c r="E50" s="327">
        <v>0</v>
      </c>
      <c r="F50" s="343">
        <v>76.328999999999994</v>
      </c>
      <c r="G50" s="239">
        <v>0.7710000000000008</v>
      </c>
      <c r="H50" s="238"/>
      <c r="I50" s="238"/>
      <c r="J50" s="238"/>
      <c r="K50" s="236"/>
      <c r="L50" s="238"/>
      <c r="M50" s="238"/>
      <c r="N50" s="238"/>
      <c r="O50" s="238"/>
    </row>
    <row r="51" spans="1:15" s="342" customFormat="1" ht="33" outlineLevel="1" x14ac:dyDescent="0.25">
      <c r="A51" s="351" t="s">
        <v>212</v>
      </c>
      <c r="B51" s="366" t="str">
        <f>'целевые показатели'!B89</f>
        <v>Ремонт Карачевское шоссе (элементы обустройства автомобильных дорог)</v>
      </c>
      <c r="C51" s="367">
        <v>102.8</v>
      </c>
      <c r="D51" s="343">
        <v>0</v>
      </c>
      <c r="E51" s="327">
        <v>0</v>
      </c>
      <c r="F51" s="343">
        <v>101.77199999999999</v>
      </c>
      <c r="G51" s="239">
        <v>1.0280000000000058</v>
      </c>
      <c r="H51" s="238"/>
      <c r="I51" s="238"/>
      <c r="J51" s="238"/>
      <c r="K51" s="236"/>
      <c r="L51" s="238"/>
      <c r="M51" s="238"/>
      <c r="N51" s="238"/>
      <c r="O51" s="238"/>
    </row>
    <row r="52" spans="1:15" s="342" customFormat="1" ht="33" outlineLevel="1" x14ac:dyDescent="0.25">
      <c r="A52" s="351" t="s">
        <v>213</v>
      </c>
      <c r="B52" s="366" t="str">
        <f>'целевые показатели'!B92</f>
        <v>Ремонт ул. Паровозная (элементы обустройства автомобильных дорог)</v>
      </c>
      <c r="C52" s="367">
        <v>411.2</v>
      </c>
      <c r="D52" s="343">
        <v>0</v>
      </c>
      <c r="E52" s="327">
        <v>0</v>
      </c>
      <c r="F52" s="343">
        <v>407.08799999999997</v>
      </c>
      <c r="G52" s="239">
        <v>4.1120000000000232</v>
      </c>
      <c r="H52" s="238"/>
      <c r="I52" s="238"/>
      <c r="J52" s="238"/>
      <c r="K52" s="238"/>
      <c r="L52" s="238"/>
      <c r="M52" s="238"/>
      <c r="N52" s="238"/>
      <c r="O52" s="238"/>
    </row>
    <row r="53" spans="1:15" s="342" customFormat="1" ht="33" outlineLevel="1" x14ac:dyDescent="0.25">
      <c r="A53" s="351" t="s">
        <v>344</v>
      </c>
      <c r="B53" s="366" t="str">
        <f>'целевые показатели'!B93</f>
        <v>Ремонт пер.Маслозаводской (элементы обустройства автомобильных дорог)</v>
      </c>
      <c r="C53" s="367">
        <v>77.099999999999994</v>
      </c>
      <c r="D53" s="343">
        <v>0</v>
      </c>
      <c r="E53" s="327">
        <v>0</v>
      </c>
      <c r="F53" s="343">
        <v>76.328999999999994</v>
      </c>
      <c r="G53" s="239">
        <v>0.7710000000000008</v>
      </c>
      <c r="H53" s="238"/>
      <c r="I53" s="238"/>
      <c r="J53" s="238"/>
      <c r="K53" s="238"/>
      <c r="L53" s="238"/>
      <c r="M53" s="238"/>
      <c r="N53" s="238"/>
      <c r="O53" s="238"/>
    </row>
    <row r="54" spans="1:15" s="342" customFormat="1" ht="33" outlineLevel="1" x14ac:dyDescent="0.25">
      <c r="A54" s="351" t="s">
        <v>345</v>
      </c>
      <c r="B54" s="366" t="str">
        <f>'целевые показатели'!B95</f>
        <v>Ремонт ул.Грузовая (элементы обустройства автомобильных дорог)</v>
      </c>
      <c r="C54" s="367">
        <v>102.8</v>
      </c>
      <c r="D54" s="343">
        <v>0</v>
      </c>
      <c r="E54" s="327">
        <v>0</v>
      </c>
      <c r="F54" s="343">
        <v>101.77199999999999</v>
      </c>
      <c r="G54" s="239">
        <v>1.0280000000000058</v>
      </c>
      <c r="H54" s="238"/>
      <c r="I54" s="238"/>
      <c r="J54" s="238"/>
      <c r="K54" s="238"/>
      <c r="L54" s="238"/>
      <c r="M54" s="238"/>
      <c r="N54" s="238"/>
      <c r="O54" s="238"/>
    </row>
    <row r="55" spans="1:15" s="342" customFormat="1" ht="33" outlineLevel="1" x14ac:dyDescent="0.25">
      <c r="A55" s="351" t="s">
        <v>346</v>
      </c>
      <c r="B55" s="366" t="str">
        <f>'целевые показатели'!B95</f>
        <v>Ремонт ул.Грузовая (элементы обустройства автомобильных дорог)</v>
      </c>
      <c r="C55" s="367">
        <v>77.099999999999994</v>
      </c>
      <c r="D55" s="343">
        <v>0</v>
      </c>
      <c r="E55" s="327">
        <v>0</v>
      </c>
      <c r="F55" s="343">
        <v>76.328999999999994</v>
      </c>
      <c r="G55" s="239">
        <v>0.7710000000000008</v>
      </c>
      <c r="H55" s="238"/>
      <c r="I55" s="238"/>
      <c r="J55" s="238"/>
      <c r="K55" s="238"/>
      <c r="L55" s="238"/>
      <c r="M55" s="238"/>
      <c r="N55" s="238"/>
      <c r="O55" s="238"/>
    </row>
    <row r="56" spans="1:15" s="342" customFormat="1" ht="33" outlineLevel="1" x14ac:dyDescent="0.25">
      <c r="A56" s="351" t="s">
        <v>347</v>
      </c>
      <c r="B56" s="366" t="str">
        <f>'целевые показатели'!B96</f>
        <v>Ремонт ул.Р.Люксембург (элементы обустройства автомобильных дорог)</v>
      </c>
      <c r="C56" s="367">
        <v>77.099999999999994</v>
      </c>
      <c r="D56" s="343">
        <v>0</v>
      </c>
      <c r="E56" s="327">
        <v>0</v>
      </c>
      <c r="F56" s="343">
        <v>76.328999999999994</v>
      </c>
      <c r="G56" s="239">
        <v>0.7710000000000008</v>
      </c>
      <c r="H56" s="238"/>
      <c r="I56" s="238"/>
      <c r="J56" s="238"/>
      <c r="K56" s="238"/>
      <c r="L56" s="238"/>
      <c r="M56" s="238"/>
      <c r="N56" s="238"/>
      <c r="O56" s="238"/>
    </row>
    <row r="57" spans="1:15" s="342" customFormat="1" ht="33" outlineLevel="1" x14ac:dyDescent="0.25">
      <c r="A57" s="351" t="s">
        <v>348</v>
      </c>
      <c r="B57" s="366" t="str">
        <f>'целевые показатели'!B97</f>
        <v>Ремонт ул.МОПРа  (элементы обустройства автомобильных дорог)</v>
      </c>
      <c r="C57" s="367">
        <v>154.19999999999999</v>
      </c>
      <c r="D57" s="343">
        <v>0</v>
      </c>
      <c r="E57" s="327">
        <v>0</v>
      </c>
      <c r="F57" s="343">
        <v>152.65799999999999</v>
      </c>
      <c r="G57" s="239">
        <v>1.5420000000000016</v>
      </c>
      <c r="H57" s="238"/>
      <c r="I57" s="238"/>
      <c r="J57" s="238"/>
      <c r="K57" s="238"/>
      <c r="L57" s="238"/>
      <c r="M57" s="238"/>
      <c r="N57" s="238"/>
      <c r="O57" s="238"/>
    </row>
    <row r="58" spans="1:15" s="342" customFormat="1" ht="33" outlineLevel="1" x14ac:dyDescent="0.25">
      <c r="A58" s="351" t="s">
        <v>349</v>
      </c>
      <c r="B58" s="366" t="str">
        <f>'целевые показатели'!B88</f>
        <v>Ремонт Наугорское шоссе (элементы обустройства автомобильных дорог)</v>
      </c>
      <c r="C58" s="367">
        <v>77.099999999999994</v>
      </c>
      <c r="D58" s="343">
        <v>0</v>
      </c>
      <c r="E58" s="327">
        <v>0</v>
      </c>
      <c r="F58" s="343">
        <v>76.328999999999994</v>
      </c>
      <c r="G58" s="239">
        <v>0.7710000000000008</v>
      </c>
      <c r="H58" s="238"/>
      <c r="I58" s="238"/>
      <c r="J58" s="238"/>
      <c r="K58" s="238"/>
      <c r="L58" s="238"/>
      <c r="M58" s="238"/>
      <c r="N58" s="238"/>
      <c r="O58" s="238"/>
    </row>
    <row r="59" spans="1:15" s="342" customFormat="1" ht="33" outlineLevel="1" x14ac:dyDescent="0.25">
      <c r="A59" s="351" t="s">
        <v>350</v>
      </c>
      <c r="B59" s="366" t="str">
        <f>'целевые показатели'!B89</f>
        <v>Ремонт Карачевское шоссе (элементы обустройства автомобильных дорог)</v>
      </c>
      <c r="C59" s="367">
        <v>25.7</v>
      </c>
      <c r="D59" s="343">
        <v>0</v>
      </c>
      <c r="E59" s="327">
        <v>0</v>
      </c>
      <c r="F59" s="343">
        <v>25.442999999999998</v>
      </c>
      <c r="G59" s="239">
        <v>0.25700000000000145</v>
      </c>
      <c r="H59" s="238"/>
      <c r="I59" s="238"/>
      <c r="J59" s="238"/>
      <c r="K59" s="238"/>
      <c r="L59" s="238"/>
      <c r="M59" s="238"/>
      <c r="N59" s="238"/>
      <c r="O59" s="238"/>
    </row>
    <row r="60" spans="1:15" s="342" customFormat="1" ht="33" outlineLevel="1" x14ac:dyDescent="0.25">
      <c r="A60" s="351" t="s">
        <v>351</v>
      </c>
      <c r="B60" s="366" t="str">
        <f>'целевые показатели'!B90</f>
        <v>Ремонт Новосильское шоссе (элементы обустройства автомобильных дорог)</v>
      </c>
      <c r="C60" s="367">
        <v>25.7</v>
      </c>
      <c r="D60" s="343">
        <v>0</v>
      </c>
      <c r="E60" s="327">
        <v>0</v>
      </c>
      <c r="F60" s="343">
        <v>25.442999999999998</v>
      </c>
      <c r="G60" s="239">
        <v>0.25700000000000145</v>
      </c>
      <c r="H60" s="238"/>
      <c r="I60" s="238"/>
      <c r="J60" s="238"/>
      <c r="K60" s="238"/>
      <c r="L60" s="238"/>
      <c r="M60" s="238"/>
      <c r="N60" s="238"/>
      <c r="O60" s="238"/>
    </row>
    <row r="61" spans="1:15" s="342" customFormat="1" ht="33" outlineLevel="1" x14ac:dyDescent="0.25">
      <c r="A61" s="351" t="s">
        <v>352</v>
      </c>
      <c r="B61" s="366" t="str">
        <f>'целевые показатели'!B91</f>
        <v>Ремонт ул. Ливенская (элементы обустройства автомобильных дорог)</v>
      </c>
      <c r="C61" s="367">
        <v>51.4</v>
      </c>
      <c r="D61" s="343">
        <v>0</v>
      </c>
      <c r="E61" s="327">
        <v>0</v>
      </c>
      <c r="F61" s="343">
        <v>50.885999999999996</v>
      </c>
      <c r="G61" s="239">
        <v>0.5140000000000029</v>
      </c>
      <c r="H61" s="238"/>
      <c r="I61" s="238"/>
      <c r="J61" s="238"/>
      <c r="K61" s="238"/>
      <c r="L61" s="238"/>
      <c r="M61" s="238"/>
      <c r="N61" s="238"/>
      <c r="O61" s="238"/>
    </row>
    <row r="62" spans="1:15" s="342" customFormat="1" ht="33" outlineLevel="1" x14ac:dyDescent="0.25">
      <c r="A62" s="351" t="s">
        <v>309</v>
      </c>
      <c r="B62" s="366" t="str">
        <f>'целевые показатели'!B92</f>
        <v>Ремонт ул. Паровозная (элементы обустройства автомобильных дорог)</v>
      </c>
      <c r="C62" s="367">
        <v>51.4</v>
      </c>
      <c r="D62" s="343">
        <v>0</v>
      </c>
      <c r="E62" s="327">
        <v>0</v>
      </c>
      <c r="F62" s="343">
        <v>50.885999999999996</v>
      </c>
      <c r="G62" s="239">
        <v>0.5140000000000029</v>
      </c>
      <c r="H62" s="238"/>
      <c r="I62" s="238"/>
      <c r="J62" s="238"/>
      <c r="K62" s="238"/>
      <c r="L62" s="238"/>
      <c r="M62" s="238"/>
      <c r="N62" s="238"/>
      <c r="O62" s="238"/>
    </row>
    <row r="63" spans="1:15" ht="33" outlineLevel="1" x14ac:dyDescent="0.25">
      <c r="A63" s="351" t="s">
        <v>353</v>
      </c>
      <c r="B63" s="229" t="str">
        <f>'целевые показатели'!B93</f>
        <v>Ремонт пер.Маслозаводской (элементы обустройства автомобильных дорог)</v>
      </c>
      <c r="C63" s="326">
        <v>25.7</v>
      </c>
      <c r="D63" s="22">
        <v>0</v>
      </c>
      <c r="E63" s="22">
        <v>0</v>
      </c>
      <c r="F63" s="22">
        <v>25.442999999999998</v>
      </c>
      <c r="G63" s="231">
        <v>0.25700000000000145</v>
      </c>
      <c r="J63" s="236"/>
      <c r="K63" s="236"/>
      <c r="L63" s="236"/>
      <c r="M63" s="236"/>
      <c r="N63" s="236"/>
      <c r="O63" s="236"/>
    </row>
    <row r="64" spans="1:15" ht="33" outlineLevel="1" x14ac:dyDescent="0.25">
      <c r="A64" s="351" t="s">
        <v>354</v>
      </c>
      <c r="B64" s="229" t="s">
        <v>389</v>
      </c>
      <c r="C64" s="326">
        <v>599.72400000000005</v>
      </c>
      <c r="D64" s="22">
        <v>0</v>
      </c>
      <c r="E64" s="22">
        <v>0</v>
      </c>
      <c r="F64" s="22">
        <v>0</v>
      </c>
      <c r="G64" s="231">
        <v>599.72400000000005</v>
      </c>
      <c r="J64" s="236"/>
      <c r="K64" s="236"/>
      <c r="L64" s="236"/>
      <c r="M64" s="236"/>
      <c r="N64" s="236"/>
      <c r="O64" s="236"/>
    </row>
    <row r="65" spans="1:15" ht="19.5" customHeight="1" outlineLevel="1" x14ac:dyDescent="0.25">
      <c r="A65" s="351" t="s">
        <v>396</v>
      </c>
      <c r="B65" s="229" t="s">
        <v>390</v>
      </c>
      <c r="C65" s="326">
        <v>599.66639999999995</v>
      </c>
      <c r="D65" s="22">
        <v>0</v>
      </c>
      <c r="E65" s="22">
        <v>0</v>
      </c>
      <c r="F65" s="22">
        <v>0</v>
      </c>
      <c r="G65" s="231">
        <v>599.66639999999995</v>
      </c>
      <c r="J65" s="236"/>
      <c r="K65" s="236"/>
      <c r="L65" s="236"/>
      <c r="M65" s="236"/>
      <c r="N65" s="236"/>
      <c r="O65" s="236"/>
    </row>
    <row r="66" spans="1:15" ht="49.5" outlineLevel="1" x14ac:dyDescent="0.25">
      <c r="A66" s="351" t="s">
        <v>355</v>
      </c>
      <c r="B66" s="229" t="s">
        <v>392</v>
      </c>
      <c r="C66" s="326">
        <v>212.51168000000001</v>
      </c>
      <c r="D66" s="22">
        <v>0</v>
      </c>
      <c r="E66" s="22">
        <v>0</v>
      </c>
      <c r="F66" s="22">
        <v>0</v>
      </c>
      <c r="G66" s="231">
        <v>212.51168000000001</v>
      </c>
      <c r="J66" s="236"/>
      <c r="K66" s="236"/>
      <c r="L66" s="236"/>
      <c r="M66" s="236"/>
      <c r="N66" s="236"/>
      <c r="O66" s="236"/>
    </row>
    <row r="67" spans="1:15" ht="69" customHeight="1" outlineLevel="1" x14ac:dyDescent="0.25">
      <c r="A67" s="351" t="s">
        <v>397</v>
      </c>
      <c r="B67" s="229" t="s">
        <v>638</v>
      </c>
      <c r="C67" s="326">
        <v>98</v>
      </c>
      <c r="D67" s="22">
        <v>0</v>
      </c>
      <c r="E67" s="22">
        <v>0</v>
      </c>
      <c r="F67" s="22">
        <v>0</v>
      </c>
      <c r="G67" s="231">
        <v>98</v>
      </c>
      <c r="J67" s="236"/>
      <c r="K67" s="236"/>
      <c r="L67" s="236"/>
      <c r="M67" s="236"/>
      <c r="N67" s="236"/>
      <c r="O67" s="236"/>
    </row>
    <row r="68" spans="1:15" ht="49.5" outlineLevel="1" x14ac:dyDescent="0.25">
      <c r="A68" s="351" t="s">
        <v>356</v>
      </c>
      <c r="B68" s="229" t="s">
        <v>430</v>
      </c>
      <c r="C68" s="326">
        <v>65</v>
      </c>
      <c r="D68" s="22">
        <v>0</v>
      </c>
      <c r="E68" s="22">
        <v>0</v>
      </c>
      <c r="F68" s="22">
        <v>0</v>
      </c>
      <c r="G68" s="231">
        <v>65</v>
      </c>
      <c r="J68" s="236"/>
      <c r="K68" s="236"/>
      <c r="L68" s="236"/>
      <c r="M68" s="236"/>
      <c r="N68" s="236"/>
      <c r="O68" s="236"/>
    </row>
    <row r="69" spans="1:15" ht="36" customHeight="1" outlineLevel="1" x14ac:dyDescent="0.25">
      <c r="A69" s="351" t="s">
        <v>357</v>
      </c>
      <c r="B69" s="229" t="s">
        <v>431</v>
      </c>
      <c r="C69" s="326">
        <v>1917.0905399999999</v>
      </c>
      <c r="D69" s="22">
        <v>0</v>
      </c>
      <c r="E69" s="22">
        <v>0</v>
      </c>
      <c r="F69" s="22">
        <v>0</v>
      </c>
      <c r="G69" s="231">
        <v>1917.0905399999999</v>
      </c>
      <c r="J69" s="236"/>
      <c r="K69" s="236"/>
      <c r="L69" s="236"/>
      <c r="M69" s="236"/>
      <c r="N69" s="236"/>
      <c r="O69" s="236"/>
    </row>
    <row r="70" spans="1:15" ht="36" customHeight="1" outlineLevel="1" x14ac:dyDescent="0.25">
      <c r="A70" s="351" t="s">
        <v>358</v>
      </c>
      <c r="B70" s="229" t="s">
        <v>639</v>
      </c>
      <c r="C70" s="326">
        <v>99.858000000000004</v>
      </c>
      <c r="D70" s="22">
        <v>0</v>
      </c>
      <c r="E70" s="22">
        <v>0</v>
      </c>
      <c r="F70" s="22">
        <v>0</v>
      </c>
      <c r="G70" s="231">
        <v>99.858000000000004</v>
      </c>
      <c r="J70" s="236"/>
      <c r="K70" s="236"/>
      <c r="L70" s="236"/>
      <c r="M70" s="236"/>
      <c r="N70" s="236"/>
      <c r="O70" s="236"/>
    </row>
    <row r="71" spans="1:15" ht="33" outlineLevel="1" x14ac:dyDescent="0.25">
      <c r="A71" s="351" t="s">
        <v>359</v>
      </c>
      <c r="B71" s="229" t="s">
        <v>394</v>
      </c>
      <c r="C71" s="326">
        <v>450</v>
      </c>
      <c r="D71" s="22">
        <v>0</v>
      </c>
      <c r="E71" s="22">
        <v>0</v>
      </c>
      <c r="F71" s="22">
        <v>0</v>
      </c>
      <c r="G71" s="231">
        <v>450</v>
      </c>
      <c r="J71" s="236"/>
      <c r="K71" s="236"/>
      <c r="L71" s="236"/>
      <c r="M71" s="236"/>
      <c r="N71" s="236"/>
      <c r="O71" s="236"/>
    </row>
    <row r="72" spans="1:15" ht="49.5" outlineLevel="1" x14ac:dyDescent="0.25">
      <c r="A72" s="351" t="s">
        <v>360</v>
      </c>
      <c r="B72" s="229" t="str">
        <f>'целевые показатели'!B121</f>
        <v>устройство специальных технических средств контроля соблюдений ПДД на нерегулируемом пешеходном переходе по ул.Комсомольская, 237 (объекты 2021 года)</v>
      </c>
      <c r="C72" s="326">
        <v>2686.5</v>
      </c>
      <c r="D72" s="327">
        <v>0</v>
      </c>
      <c r="E72" s="327">
        <v>0</v>
      </c>
      <c r="F72" s="327">
        <v>2659.6349999999998</v>
      </c>
      <c r="G72" s="328">
        <v>26.865000000000236</v>
      </c>
      <c r="J72" s="237"/>
    </row>
    <row r="73" spans="1:15" ht="54" customHeight="1" outlineLevel="1" x14ac:dyDescent="0.25">
      <c r="A73" s="351" t="s">
        <v>361</v>
      </c>
      <c r="B73" s="229" t="str">
        <f>'целевые показатели'!B122</f>
        <v>устройство специальных технических средств контроля соблюдений ПДД на нерегулируемом пешеходном переходе по ул.Приборостроительная, 8 (объекты 2021 года)</v>
      </c>
      <c r="C73" s="326">
        <v>2686.5</v>
      </c>
      <c r="D73" s="327">
        <v>0</v>
      </c>
      <c r="E73" s="327">
        <v>0</v>
      </c>
      <c r="F73" s="327">
        <v>2659.6349999999998</v>
      </c>
      <c r="G73" s="328">
        <v>26.865000000000236</v>
      </c>
      <c r="J73" s="237"/>
    </row>
    <row r="74" spans="1:15" ht="51" customHeight="1" outlineLevel="1" x14ac:dyDescent="0.25">
      <c r="A74" s="351" t="s">
        <v>362</v>
      </c>
      <c r="B74" s="229" t="str">
        <f>'целевые показатели'!B123</f>
        <v>устройство специальных технических средств контроля соблюдений ПДД на нерегулируемом пешеходном переходе по ул.Карачевская, 61 (объекты 2021 года)</v>
      </c>
      <c r="C74" s="326">
        <v>2686.5</v>
      </c>
      <c r="D74" s="327">
        <v>0</v>
      </c>
      <c r="E74" s="327">
        <v>0</v>
      </c>
      <c r="F74" s="327">
        <v>2659.6349999999998</v>
      </c>
      <c r="G74" s="328">
        <v>26.865000000000236</v>
      </c>
      <c r="J74" s="237"/>
    </row>
    <row r="75" spans="1:15" ht="51" customHeight="1" outlineLevel="1" x14ac:dyDescent="0.25">
      <c r="A75" s="351" t="s">
        <v>363</v>
      </c>
      <c r="B75" s="229" t="str">
        <f>'целевые показатели'!B124</f>
        <v>устройство специальных технических средств контроля соблюдений ПДД на нерегулируемом пешеходном переходе по Кромское шоссе, 1 (объекты 2021 года)</v>
      </c>
      <c r="C75" s="326">
        <v>2686.5</v>
      </c>
      <c r="D75" s="327">
        <v>0</v>
      </c>
      <c r="E75" s="327">
        <v>0</v>
      </c>
      <c r="F75" s="327">
        <v>2659.6349999999998</v>
      </c>
      <c r="G75" s="328">
        <v>26.865000000000236</v>
      </c>
      <c r="J75" s="237"/>
      <c r="L75" s="237"/>
    </row>
    <row r="76" spans="1:15" ht="49.5" outlineLevel="1" x14ac:dyDescent="0.25">
      <c r="A76" s="351" t="s">
        <v>364</v>
      </c>
      <c r="B76" s="229" t="str">
        <f>'целевые показатели'!B126</f>
        <v>устройство специальных технических средств контроля соблюдений ПДД на нерегулируемом пешеходном переходе по ул.Ливенская, 48 (объекты 2021 года)</v>
      </c>
      <c r="C76" s="326">
        <v>2686.5</v>
      </c>
      <c r="D76" s="327">
        <v>0</v>
      </c>
      <c r="E76" s="327">
        <v>0</v>
      </c>
      <c r="F76" s="327">
        <v>2659.6349999999998</v>
      </c>
      <c r="G76" s="328">
        <v>26.865000000000236</v>
      </c>
      <c r="J76" s="237"/>
      <c r="K76" s="237"/>
      <c r="M76" s="237"/>
    </row>
    <row r="77" spans="1:15" ht="51" customHeight="1" outlineLevel="1" x14ac:dyDescent="0.25">
      <c r="A77" s="351" t="s">
        <v>365</v>
      </c>
      <c r="B77" s="229" t="str">
        <f>'целевые показатели'!B126</f>
        <v>устройство специальных технических средств контроля соблюдений ПДД на нерегулируемом пешеходном переходе по ул.Ливенская, 48 (объекты 2021 года)</v>
      </c>
      <c r="C77" s="326">
        <v>2686.5</v>
      </c>
      <c r="D77" s="327">
        <v>0</v>
      </c>
      <c r="E77" s="327">
        <v>0</v>
      </c>
      <c r="F77" s="327">
        <v>2659.6349999999998</v>
      </c>
      <c r="G77" s="328">
        <v>26.865000000000236</v>
      </c>
      <c r="K77" s="237"/>
    </row>
    <row r="78" spans="1:15" ht="16.5" customHeight="1" outlineLevel="1" x14ac:dyDescent="0.25">
      <c r="A78" s="351" t="s">
        <v>398</v>
      </c>
      <c r="B78" s="18" t="s">
        <v>204</v>
      </c>
      <c r="C78" s="326">
        <v>12420.168001999999</v>
      </c>
      <c r="D78" s="327">
        <v>0</v>
      </c>
      <c r="E78" s="327">
        <v>0</v>
      </c>
      <c r="F78" s="327">
        <v>12295.966321979999</v>
      </c>
      <c r="G78" s="328">
        <v>124.20168001999991</v>
      </c>
    </row>
    <row r="79" spans="1:15" ht="16.5" outlineLevel="1" x14ac:dyDescent="0.25">
      <c r="A79" s="351" t="s">
        <v>399</v>
      </c>
      <c r="B79" s="229" t="s">
        <v>73</v>
      </c>
      <c r="C79" s="326">
        <v>19371.843597999999</v>
      </c>
      <c r="D79" s="327">
        <v>0</v>
      </c>
      <c r="E79" s="327">
        <v>0</v>
      </c>
      <c r="F79" s="327">
        <v>19178.125162019998</v>
      </c>
      <c r="G79" s="328">
        <v>193.71843598000123</v>
      </c>
      <c r="J79" s="237"/>
    </row>
    <row r="80" spans="1:15" s="342" customFormat="1" ht="33" outlineLevel="1" x14ac:dyDescent="0.25">
      <c r="A80" s="351" t="s">
        <v>400</v>
      </c>
      <c r="B80" s="347" t="s">
        <v>27</v>
      </c>
      <c r="C80" s="367">
        <v>10422.469540000002</v>
      </c>
      <c r="D80" s="343">
        <v>0</v>
      </c>
      <c r="E80" s="327">
        <v>0</v>
      </c>
      <c r="F80" s="343">
        <v>9276.3299772000009</v>
      </c>
      <c r="G80" s="328">
        <v>1146.1395628000009</v>
      </c>
      <c r="H80" s="238"/>
      <c r="I80" s="238"/>
      <c r="J80" s="368"/>
    </row>
    <row r="81" spans="1:10" ht="16.5" outlineLevel="1" x14ac:dyDescent="0.25">
      <c r="A81" s="351" t="s">
        <v>401</v>
      </c>
      <c r="B81" s="229" t="s">
        <v>28</v>
      </c>
      <c r="C81" s="326">
        <v>14999.999999999985</v>
      </c>
      <c r="D81" s="327">
        <v>0</v>
      </c>
      <c r="E81" s="327">
        <v>0</v>
      </c>
      <c r="F81" s="327">
        <v>14849.999999999985</v>
      </c>
      <c r="G81" s="328">
        <v>150</v>
      </c>
    </row>
    <row r="82" spans="1:10" ht="94.5" outlineLevel="1" x14ac:dyDescent="0.25">
      <c r="A82" s="319">
        <v>3</v>
      </c>
      <c r="B82" s="321" t="s">
        <v>426</v>
      </c>
      <c r="C82" s="369">
        <f>SUM(C83:C87)</f>
        <v>367992.78631999996</v>
      </c>
      <c r="D82" s="369">
        <f>SUM(D83:D87)</f>
        <v>0</v>
      </c>
      <c r="E82" s="369">
        <f>SUM(E83:E87)</f>
        <v>0</v>
      </c>
      <c r="F82" s="369">
        <f>SUM(F83:F87)</f>
        <v>363264.53048820002</v>
      </c>
      <c r="G82" s="370">
        <f>SUM(G83:G87)</f>
        <v>4728.2558318000083</v>
      </c>
    </row>
    <row r="83" spans="1:10" ht="16.5" outlineLevel="1" x14ac:dyDescent="0.25">
      <c r="A83" s="360" t="s">
        <v>68</v>
      </c>
      <c r="B83" s="275" t="s">
        <v>29</v>
      </c>
      <c r="C83" s="371">
        <v>92917.988440000001</v>
      </c>
      <c r="D83" s="372">
        <v>0</v>
      </c>
      <c r="E83" s="372">
        <v>0</v>
      </c>
      <c r="F83" s="372">
        <v>91988.808555600001</v>
      </c>
      <c r="G83" s="373">
        <v>929.17988440000045</v>
      </c>
      <c r="I83" s="374"/>
    </row>
    <row r="84" spans="1:10" ht="16.5" outlineLevel="1" x14ac:dyDescent="0.25">
      <c r="A84" s="324" t="s">
        <v>69</v>
      </c>
      <c r="B84" s="275" t="s">
        <v>140</v>
      </c>
      <c r="C84" s="371">
        <v>158534.92733999999</v>
      </c>
      <c r="D84" s="372">
        <v>0</v>
      </c>
      <c r="E84" s="372">
        <v>0</v>
      </c>
      <c r="F84" s="372">
        <v>156949.57806659999</v>
      </c>
      <c r="G84" s="373">
        <v>1585.3492734000029</v>
      </c>
    </row>
    <row r="85" spans="1:10" ht="16.5" outlineLevel="1" x14ac:dyDescent="0.25">
      <c r="A85" s="324" t="s">
        <v>70</v>
      </c>
      <c r="B85" s="275" t="s">
        <v>30</v>
      </c>
      <c r="C85" s="371">
        <v>32108.489030000001</v>
      </c>
      <c r="D85" s="372">
        <v>0</v>
      </c>
      <c r="E85" s="372">
        <v>0</v>
      </c>
      <c r="F85" s="372">
        <v>31787.4041397</v>
      </c>
      <c r="G85" s="373">
        <v>321.08489030000055</v>
      </c>
    </row>
    <row r="86" spans="1:10" ht="16.5" outlineLevel="1" x14ac:dyDescent="0.25">
      <c r="A86" s="351" t="s">
        <v>71</v>
      </c>
      <c r="B86" s="229" t="s">
        <v>26</v>
      </c>
      <c r="C86" s="371">
        <v>83546.059510000006</v>
      </c>
      <c r="D86" s="372">
        <v>0</v>
      </c>
      <c r="E86" s="372">
        <v>0</v>
      </c>
      <c r="F86" s="372">
        <v>82538.739726300002</v>
      </c>
      <c r="G86" s="373">
        <v>1007.3197837000043</v>
      </c>
    </row>
    <row r="87" spans="1:10" ht="33" outlineLevel="1" x14ac:dyDescent="0.25">
      <c r="A87" s="351" t="s">
        <v>72</v>
      </c>
      <c r="B87" s="366" t="s">
        <v>27</v>
      </c>
      <c r="C87" s="371">
        <v>885.322</v>
      </c>
      <c r="D87" s="327">
        <v>0</v>
      </c>
      <c r="E87" s="327">
        <v>0</v>
      </c>
      <c r="F87" s="327">
        <v>0</v>
      </c>
      <c r="G87" s="375">
        <v>885.322</v>
      </c>
    </row>
    <row r="88" spans="1:10" ht="47.25" outlineLevel="1" x14ac:dyDescent="0.25">
      <c r="A88" s="319">
        <v>4</v>
      </c>
      <c r="B88" s="321" t="s">
        <v>51</v>
      </c>
      <c r="C88" s="369">
        <f>SUM(C89:C116)</f>
        <v>9330.6510808000021</v>
      </c>
      <c r="D88" s="369">
        <f>SUM(D89:D116)</f>
        <v>0</v>
      </c>
      <c r="E88" s="369">
        <f>SUM(E89:E116)</f>
        <v>0</v>
      </c>
      <c r="F88" s="369">
        <f>SUM(F89:F116)</f>
        <v>5806.1000002599994</v>
      </c>
      <c r="G88" s="370">
        <f>SUM(G89:G116)</f>
        <v>3524.5510805399999</v>
      </c>
      <c r="H88" s="376"/>
      <c r="I88" s="376"/>
    </row>
    <row r="89" spans="1:10" hidden="1" outlineLevel="1" x14ac:dyDescent="0.25">
      <c r="A89" s="351" t="s">
        <v>52</v>
      </c>
      <c r="B89" s="344" t="s">
        <v>32</v>
      </c>
      <c r="C89" s="371">
        <f>'целевые показатели'!I170</f>
        <v>0</v>
      </c>
      <c r="D89" s="327">
        <v>0</v>
      </c>
      <c r="E89" s="327"/>
      <c r="F89" s="327">
        <v>0</v>
      </c>
      <c r="G89" s="377">
        <v>0</v>
      </c>
    </row>
    <row r="90" spans="1:10" hidden="1" outlineLevel="1" x14ac:dyDescent="0.25">
      <c r="A90" s="351" t="s">
        <v>53</v>
      </c>
      <c r="B90" s="344" t="s">
        <v>33</v>
      </c>
      <c r="C90" s="371">
        <f>'целевые показатели'!I171</f>
        <v>0</v>
      </c>
      <c r="D90" s="327">
        <v>0</v>
      </c>
      <c r="E90" s="327"/>
      <c r="F90" s="327">
        <v>0</v>
      </c>
      <c r="G90" s="377">
        <v>0</v>
      </c>
    </row>
    <row r="91" spans="1:10" ht="31.5" outlineLevel="1" x14ac:dyDescent="0.25">
      <c r="A91" s="351" t="s">
        <v>52</v>
      </c>
      <c r="B91" s="344" t="s">
        <v>146</v>
      </c>
      <c r="C91" s="371">
        <v>150</v>
      </c>
      <c r="D91" s="327">
        <v>0</v>
      </c>
      <c r="E91" s="327">
        <v>0</v>
      </c>
      <c r="F91" s="327">
        <v>0</v>
      </c>
      <c r="G91" s="377">
        <v>150</v>
      </c>
    </row>
    <row r="92" spans="1:10" ht="31.5" customHeight="1" outlineLevel="1" x14ac:dyDescent="0.25">
      <c r="A92" s="351" t="s">
        <v>53</v>
      </c>
      <c r="B92" s="344" t="s">
        <v>147</v>
      </c>
      <c r="C92" s="371">
        <v>150</v>
      </c>
      <c r="D92" s="327">
        <v>0</v>
      </c>
      <c r="E92" s="327">
        <v>0</v>
      </c>
      <c r="F92" s="327">
        <v>0</v>
      </c>
      <c r="G92" s="377">
        <v>150</v>
      </c>
    </row>
    <row r="93" spans="1:10" ht="47.25" outlineLevel="1" x14ac:dyDescent="0.25">
      <c r="A93" s="351" t="s">
        <v>54</v>
      </c>
      <c r="B93" s="378" t="s">
        <v>252</v>
      </c>
      <c r="C93" s="379">
        <v>937.91759999999999</v>
      </c>
      <c r="D93" s="327">
        <v>0</v>
      </c>
      <c r="E93" s="327">
        <v>0</v>
      </c>
      <c r="F93" s="327">
        <v>0</v>
      </c>
      <c r="G93" s="377">
        <v>937.91759999999999</v>
      </c>
      <c r="H93" s="380"/>
    </row>
    <row r="94" spans="1:10" ht="51" customHeight="1" outlineLevel="1" x14ac:dyDescent="0.25">
      <c r="A94" s="351" t="s">
        <v>88</v>
      </c>
      <c r="B94" s="378" t="s">
        <v>640</v>
      </c>
      <c r="C94" s="379">
        <v>940.24440000000004</v>
      </c>
      <c r="D94" s="327">
        <v>0</v>
      </c>
      <c r="E94" s="327">
        <v>0</v>
      </c>
      <c r="F94" s="327">
        <v>0</v>
      </c>
      <c r="G94" s="377">
        <v>940.24440000000004</v>
      </c>
      <c r="H94" s="380"/>
    </row>
    <row r="95" spans="1:10" ht="51" customHeight="1" outlineLevel="1" x14ac:dyDescent="0.25">
      <c r="A95" s="351" t="s">
        <v>177</v>
      </c>
      <c r="B95" s="378" t="s">
        <v>254</v>
      </c>
      <c r="C95" s="379">
        <v>467.87470000000002</v>
      </c>
      <c r="D95" s="327">
        <v>0</v>
      </c>
      <c r="E95" s="327">
        <v>0</v>
      </c>
      <c r="F95" s="327">
        <v>0</v>
      </c>
      <c r="G95" s="377">
        <v>467.87470000000002</v>
      </c>
      <c r="H95" s="380"/>
      <c r="I95" s="381"/>
      <c r="J95" s="382"/>
    </row>
    <row r="96" spans="1:10" ht="16.5" outlineLevel="1" x14ac:dyDescent="0.25">
      <c r="A96" s="351" t="s">
        <v>178</v>
      </c>
      <c r="B96" s="383" t="s">
        <v>386</v>
      </c>
      <c r="C96" s="379">
        <v>58.090919999999997</v>
      </c>
      <c r="D96" s="327">
        <v>0</v>
      </c>
      <c r="E96" s="327">
        <v>0</v>
      </c>
      <c r="F96" s="327">
        <v>0</v>
      </c>
      <c r="G96" s="377">
        <v>58.090919999999997</v>
      </c>
      <c r="H96" s="380"/>
      <c r="I96" s="381"/>
      <c r="J96" s="382"/>
    </row>
    <row r="97" spans="1:11" s="390" customFormat="1" ht="51" hidden="1" customHeight="1" outlineLevel="2" x14ac:dyDescent="0.25">
      <c r="A97" s="351" t="s">
        <v>200</v>
      </c>
      <c r="B97" s="384" t="s">
        <v>275</v>
      </c>
      <c r="C97" s="385">
        <v>0</v>
      </c>
      <c r="D97" s="386">
        <v>0</v>
      </c>
      <c r="E97" s="327">
        <v>0</v>
      </c>
      <c r="F97" s="386">
        <v>0</v>
      </c>
      <c r="G97" s="387">
        <v>0</v>
      </c>
      <c r="H97" s="388"/>
      <c r="I97" s="388"/>
      <c r="J97" s="389"/>
    </row>
    <row r="98" spans="1:11" s="390" customFormat="1" ht="51" hidden="1" customHeight="1" outlineLevel="2" x14ac:dyDescent="0.25">
      <c r="A98" s="351" t="s">
        <v>214</v>
      </c>
      <c r="B98" s="384" t="s">
        <v>287</v>
      </c>
      <c r="C98" s="385">
        <v>0</v>
      </c>
      <c r="D98" s="386">
        <v>0</v>
      </c>
      <c r="E98" s="327">
        <v>0</v>
      </c>
      <c r="F98" s="386">
        <v>0</v>
      </c>
      <c r="G98" s="387">
        <v>0</v>
      </c>
      <c r="H98" s="380"/>
      <c r="I98" s="380"/>
    </row>
    <row r="99" spans="1:11" s="390" customFormat="1" ht="51" hidden="1" customHeight="1" outlineLevel="2" x14ac:dyDescent="0.25">
      <c r="A99" s="351" t="s">
        <v>215</v>
      </c>
      <c r="B99" s="384" t="s">
        <v>277</v>
      </c>
      <c r="C99" s="385">
        <v>0</v>
      </c>
      <c r="D99" s="386">
        <v>0</v>
      </c>
      <c r="E99" s="327">
        <v>0</v>
      </c>
      <c r="F99" s="386">
        <v>0</v>
      </c>
      <c r="G99" s="387">
        <v>0</v>
      </c>
      <c r="H99" s="380"/>
      <c r="I99" s="380"/>
    </row>
    <row r="100" spans="1:11" s="390" customFormat="1" ht="51" hidden="1" customHeight="1" outlineLevel="2" x14ac:dyDescent="0.25">
      <c r="A100" s="351" t="s">
        <v>216</v>
      </c>
      <c r="B100" s="384" t="s">
        <v>274</v>
      </c>
      <c r="C100" s="385">
        <v>0</v>
      </c>
      <c r="D100" s="386">
        <v>0</v>
      </c>
      <c r="E100" s="327">
        <v>0</v>
      </c>
      <c r="F100" s="386">
        <v>0</v>
      </c>
      <c r="G100" s="387">
        <v>0</v>
      </c>
      <c r="H100" s="380"/>
      <c r="I100" s="380"/>
    </row>
    <row r="101" spans="1:11" ht="51" hidden="1" customHeight="1" outlineLevel="2" x14ac:dyDescent="0.25">
      <c r="A101" s="351" t="s">
        <v>268</v>
      </c>
      <c r="B101" s="18" t="s">
        <v>278</v>
      </c>
      <c r="C101" s="371">
        <v>0</v>
      </c>
      <c r="D101" s="327">
        <v>0</v>
      </c>
      <c r="E101" s="327">
        <v>0</v>
      </c>
      <c r="F101" s="327">
        <v>0</v>
      </c>
      <c r="G101" s="377">
        <v>0</v>
      </c>
    </row>
    <row r="102" spans="1:11" s="390" customFormat="1" ht="51" hidden="1" customHeight="1" outlineLevel="2" x14ac:dyDescent="0.25">
      <c r="A102" s="351" t="s">
        <v>269</v>
      </c>
      <c r="B102" s="384" t="s">
        <v>284</v>
      </c>
      <c r="C102" s="385">
        <v>0</v>
      </c>
      <c r="D102" s="386">
        <v>0</v>
      </c>
      <c r="E102" s="327">
        <v>0</v>
      </c>
      <c r="F102" s="386">
        <v>0</v>
      </c>
      <c r="G102" s="387">
        <v>0</v>
      </c>
      <c r="H102" s="380"/>
      <c r="I102" s="380"/>
    </row>
    <row r="103" spans="1:11" s="390" customFormat="1" ht="51" hidden="1" customHeight="1" outlineLevel="2" x14ac:dyDescent="0.25">
      <c r="A103" s="351" t="s">
        <v>270</v>
      </c>
      <c r="B103" s="384" t="s">
        <v>280</v>
      </c>
      <c r="C103" s="385">
        <v>0</v>
      </c>
      <c r="D103" s="386">
        <v>0</v>
      </c>
      <c r="E103" s="327">
        <v>0</v>
      </c>
      <c r="F103" s="386">
        <v>0</v>
      </c>
      <c r="G103" s="387">
        <v>0</v>
      </c>
      <c r="H103" s="380"/>
      <c r="I103" s="380"/>
      <c r="J103" s="389"/>
      <c r="K103" s="389"/>
    </row>
    <row r="104" spans="1:11" ht="51" hidden="1" customHeight="1" outlineLevel="2" x14ac:dyDescent="0.25">
      <c r="A104" s="351" t="s">
        <v>271</v>
      </c>
      <c r="B104" s="18" t="s">
        <v>285</v>
      </c>
      <c r="C104" s="371">
        <v>0</v>
      </c>
      <c r="D104" s="327">
        <v>0</v>
      </c>
      <c r="E104" s="327">
        <v>0</v>
      </c>
      <c r="F104" s="327">
        <v>0</v>
      </c>
      <c r="G104" s="377">
        <v>0</v>
      </c>
      <c r="K104" s="237"/>
    </row>
    <row r="105" spans="1:11" ht="51" hidden="1" customHeight="1" outlineLevel="2" x14ac:dyDescent="0.25">
      <c r="A105" s="351" t="s">
        <v>272</v>
      </c>
      <c r="B105" s="18" t="s">
        <v>282</v>
      </c>
      <c r="C105" s="371">
        <v>0</v>
      </c>
      <c r="D105" s="327">
        <v>0</v>
      </c>
      <c r="E105" s="327">
        <v>0</v>
      </c>
      <c r="F105" s="327">
        <v>0</v>
      </c>
      <c r="G105" s="377">
        <v>0</v>
      </c>
    </row>
    <row r="106" spans="1:11" ht="51" hidden="1" customHeight="1" outlineLevel="2" x14ac:dyDescent="0.25">
      <c r="A106" s="351" t="s">
        <v>303</v>
      </c>
      <c r="B106" s="18" t="s">
        <v>286</v>
      </c>
      <c r="C106" s="371">
        <v>0</v>
      </c>
      <c r="D106" s="327">
        <v>0</v>
      </c>
      <c r="E106" s="327">
        <v>0</v>
      </c>
      <c r="F106" s="327">
        <v>0</v>
      </c>
      <c r="G106" s="377">
        <v>0</v>
      </c>
    </row>
    <row r="107" spans="1:11" ht="55.5" hidden="1" customHeight="1" outlineLevel="2" x14ac:dyDescent="0.25">
      <c r="A107" s="351" t="s">
        <v>304</v>
      </c>
      <c r="B107" s="18" t="str">
        <f>'целевые показатели'!B188</f>
        <v>устройство (монтаж) недостающих средств организации и регулирования дорожного движения в районе пересечения ул.Трудовые резервы и ул. Генерала Родина</v>
      </c>
      <c r="C107" s="371">
        <v>0</v>
      </c>
      <c r="D107" s="327">
        <v>0</v>
      </c>
      <c r="E107" s="327">
        <v>0</v>
      </c>
      <c r="F107" s="327">
        <v>0</v>
      </c>
      <c r="G107" s="377">
        <v>0</v>
      </c>
      <c r="H107" s="238"/>
      <c r="I107" s="238"/>
    </row>
    <row r="108" spans="1:11" s="342" customFormat="1" ht="63" outlineLevel="3" x14ac:dyDescent="0.25">
      <c r="A108" s="351" t="s">
        <v>200</v>
      </c>
      <c r="B108" s="344" t="s">
        <v>641</v>
      </c>
      <c r="C108" s="371">
        <v>1603.2324000000001</v>
      </c>
      <c r="D108" s="327">
        <v>0</v>
      </c>
      <c r="E108" s="327">
        <v>0</v>
      </c>
      <c r="F108" s="22">
        <v>1523.07078</v>
      </c>
      <c r="G108" s="391">
        <v>80.161620000000084</v>
      </c>
      <c r="H108" s="238"/>
      <c r="I108" s="238"/>
    </row>
    <row r="109" spans="1:11" s="342" customFormat="1" ht="47.25" outlineLevel="3" x14ac:dyDescent="0.25">
      <c r="A109" s="351" t="s">
        <v>214</v>
      </c>
      <c r="B109" s="344" t="s">
        <v>206</v>
      </c>
      <c r="C109" s="371">
        <v>2154.2671099999998</v>
      </c>
      <c r="D109" s="327">
        <v>0</v>
      </c>
      <c r="E109" s="327">
        <v>0</v>
      </c>
      <c r="F109" s="22">
        <v>2046.5537544999997</v>
      </c>
      <c r="G109" s="391">
        <v>107.71335550000003</v>
      </c>
      <c r="H109" s="392"/>
      <c r="I109" s="392"/>
    </row>
    <row r="110" spans="1:11" s="342" customFormat="1" ht="47.25" outlineLevel="3" x14ac:dyDescent="0.25">
      <c r="A110" s="351" t="s">
        <v>215</v>
      </c>
      <c r="B110" s="344" t="s">
        <v>207</v>
      </c>
      <c r="C110" s="371">
        <v>1489.1971007999998</v>
      </c>
      <c r="D110" s="327">
        <v>0</v>
      </c>
      <c r="E110" s="327">
        <v>0</v>
      </c>
      <c r="F110" s="22">
        <v>1414.7372457599997</v>
      </c>
      <c r="G110" s="391">
        <v>74.459855040000093</v>
      </c>
      <c r="H110" s="238"/>
      <c r="I110" s="238"/>
    </row>
    <row r="111" spans="1:11" s="342" customFormat="1" ht="47.25" outlineLevel="3" x14ac:dyDescent="0.25">
      <c r="A111" s="351" t="s">
        <v>216</v>
      </c>
      <c r="B111" s="344" t="s">
        <v>642</v>
      </c>
      <c r="C111" s="371">
        <v>408.76042000000001</v>
      </c>
      <c r="D111" s="327">
        <v>0</v>
      </c>
      <c r="E111" s="327">
        <v>0</v>
      </c>
      <c r="F111" s="22">
        <v>388.32239900000002</v>
      </c>
      <c r="G111" s="391">
        <v>20.438020999999992</v>
      </c>
      <c r="H111" s="238"/>
      <c r="I111" s="238"/>
    </row>
    <row r="112" spans="1:11" s="342" customFormat="1" ht="47.25" outlineLevel="3" x14ac:dyDescent="0.25">
      <c r="A112" s="351" t="s">
        <v>268</v>
      </c>
      <c r="B112" s="344" t="s">
        <v>208</v>
      </c>
      <c r="C112" s="371">
        <v>35.221240000000002</v>
      </c>
      <c r="D112" s="327">
        <v>0</v>
      </c>
      <c r="E112" s="327">
        <v>0</v>
      </c>
      <c r="F112" s="22">
        <v>33.460177999999999</v>
      </c>
      <c r="G112" s="391">
        <v>1.7610620000000026</v>
      </c>
      <c r="H112" s="238"/>
      <c r="I112" s="238"/>
    </row>
    <row r="113" spans="1:11" s="342" customFormat="1" ht="47.25" outlineLevel="3" x14ac:dyDescent="0.25">
      <c r="A113" s="351" t="s">
        <v>269</v>
      </c>
      <c r="B113" s="344" t="s">
        <v>643</v>
      </c>
      <c r="C113" s="371">
        <v>421.00594000000001</v>
      </c>
      <c r="D113" s="327">
        <v>0</v>
      </c>
      <c r="E113" s="327">
        <v>0</v>
      </c>
      <c r="F113" s="22">
        <v>399.95564300000001</v>
      </c>
      <c r="G113" s="391">
        <v>21.050297</v>
      </c>
      <c r="H113" s="238"/>
      <c r="I113" s="238"/>
    </row>
    <row r="114" spans="1:11" s="342" customFormat="1" hidden="1" outlineLevel="3" x14ac:dyDescent="0.25">
      <c r="A114" s="393">
        <v>46478</v>
      </c>
      <c r="B114" s="344" t="str">
        <f>'целевые показатели'!B195</f>
        <v>установка дорожных знаков и нанесения дорожной разметки</v>
      </c>
      <c r="C114" s="371">
        <v>0</v>
      </c>
      <c r="D114" s="327">
        <v>0</v>
      </c>
      <c r="E114" s="327">
        <v>0</v>
      </c>
      <c r="F114" s="22">
        <v>0</v>
      </c>
      <c r="G114" s="391">
        <v>0</v>
      </c>
      <c r="H114" s="238"/>
      <c r="I114" s="238"/>
    </row>
    <row r="115" spans="1:11" hidden="1" outlineLevel="2" x14ac:dyDescent="0.25">
      <c r="A115" s="351" t="s">
        <v>270</v>
      </c>
      <c r="B115" s="18" t="s">
        <v>26</v>
      </c>
      <c r="C115" s="371">
        <v>0</v>
      </c>
      <c r="D115" s="327">
        <v>0</v>
      </c>
      <c r="E115" s="327">
        <v>0</v>
      </c>
      <c r="F115" s="327">
        <v>0</v>
      </c>
      <c r="G115" s="377">
        <v>0</v>
      </c>
    </row>
    <row r="116" spans="1:11" ht="31.5" outlineLevel="1" collapsed="1" x14ac:dyDescent="0.25">
      <c r="A116" s="351" t="s">
        <v>270</v>
      </c>
      <c r="B116" s="344" t="s">
        <v>55</v>
      </c>
      <c r="C116" s="371">
        <v>514.83924999999999</v>
      </c>
      <c r="D116" s="327">
        <v>0</v>
      </c>
      <c r="E116" s="327">
        <v>0</v>
      </c>
      <c r="F116" s="327">
        <v>0</v>
      </c>
      <c r="G116" s="377">
        <v>514.83924999999999</v>
      </c>
    </row>
    <row r="117" spans="1:11" ht="110.25" outlineLevel="1" x14ac:dyDescent="0.25">
      <c r="A117" s="319">
        <v>5</v>
      </c>
      <c r="B117" s="394" t="s">
        <v>56</v>
      </c>
      <c r="C117" s="395">
        <f>'целевые показатели'!I205</f>
        <v>79600</v>
      </c>
      <c r="D117" s="369">
        <f>'целевые показатели'!I210</f>
        <v>6768.7</v>
      </c>
      <c r="E117" s="369">
        <v>0</v>
      </c>
      <c r="F117" s="396">
        <f>'целевые показатели'!I210</f>
        <v>6768.7</v>
      </c>
      <c r="G117" s="370">
        <v>0</v>
      </c>
      <c r="J117" s="342"/>
    </row>
    <row r="118" spans="1:11" ht="47.25" outlineLevel="1" x14ac:dyDescent="0.25">
      <c r="A118" s="319">
        <v>7</v>
      </c>
      <c r="B118" s="321" t="s">
        <v>11</v>
      </c>
      <c r="C118" s="395">
        <f>SUM(C119:C125)</f>
        <v>7642.6256899999998</v>
      </c>
      <c r="D118" s="395">
        <f>SUM(D119:D125)</f>
        <v>0</v>
      </c>
      <c r="E118" s="395">
        <f>SUM(E119:E125)</f>
        <v>0</v>
      </c>
      <c r="F118" s="395">
        <f>SUM(F119:F125)</f>
        <v>0</v>
      </c>
      <c r="G118" s="397">
        <f>SUM(G119:G125)</f>
        <v>7642.6256899999998</v>
      </c>
      <c r="J118" s="237"/>
      <c r="K118" s="237"/>
    </row>
    <row r="119" spans="1:11" ht="33" outlineLevel="1" x14ac:dyDescent="0.25">
      <c r="A119" s="324" t="s">
        <v>312</v>
      </c>
      <c r="B119" s="229" t="s">
        <v>156</v>
      </c>
      <c r="C119" s="326">
        <v>1758.8771999999999</v>
      </c>
      <c r="D119" s="22">
        <v>0</v>
      </c>
      <c r="E119" s="22">
        <v>0</v>
      </c>
      <c r="F119" s="22">
        <v>0</v>
      </c>
      <c r="G119" s="231">
        <v>1758.8771999999999</v>
      </c>
    </row>
    <row r="120" spans="1:11" ht="33" outlineLevel="1" x14ac:dyDescent="0.25">
      <c r="A120" s="324" t="s">
        <v>644</v>
      </c>
      <c r="B120" s="229" t="s">
        <v>250</v>
      </c>
      <c r="C120" s="326">
        <v>576.50667999999996</v>
      </c>
      <c r="D120" s="22">
        <v>0</v>
      </c>
      <c r="E120" s="22">
        <v>0</v>
      </c>
      <c r="F120" s="22">
        <v>0</v>
      </c>
      <c r="G120" s="231">
        <v>576.50667999999996</v>
      </c>
    </row>
    <row r="121" spans="1:11" ht="33" outlineLevel="1" x14ac:dyDescent="0.25">
      <c r="A121" s="324" t="s">
        <v>645</v>
      </c>
      <c r="B121" s="229" t="s">
        <v>251</v>
      </c>
      <c r="C121" s="326">
        <v>863.57280000000003</v>
      </c>
      <c r="D121" s="22">
        <v>0</v>
      </c>
      <c r="E121" s="22">
        <v>0</v>
      </c>
      <c r="F121" s="22">
        <v>0</v>
      </c>
      <c r="G121" s="231">
        <v>863.57280000000003</v>
      </c>
      <c r="J121" s="237"/>
    </row>
    <row r="122" spans="1:11" ht="33" outlineLevel="1" x14ac:dyDescent="0.25">
      <c r="A122" s="324" t="s">
        <v>646</v>
      </c>
      <c r="B122" s="229" t="s">
        <v>310</v>
      </c>
      <c r="C122" s="326">
        <v>1361.5830000000001</v>
      </c>
      <c r="D122" s="22">
        <v>0</v>
      </c>
      <c r="E122" s="22">
        <v>0</v>
      </c>
      <c r="F122" s="22">
        <v>0</v>
      </c>
      <c r="G122" s="231">
        <v>1361.5830000000001</v>
      </c>
      <c r="J122" s="237"/>
    </row>
    <row r="123" spans="1:11" ht="66" outlineLevel="1" x14ac:dyDescent="0.25">
      <c r="A123" s="324" t="s">
        <v>635</v>
      </c>
      <c r="B123" s="229" t="s">
        <v>249</v>
      </c>
      <c r="C123" s="326">
        <v>600</v>
      </c>
      <c r="D123" s="22">
        <v>0</v>
      </c>
      <c r="E123" s="22">
        <v>0</v>
      </c>
      <c r="F123" s="22">
        <v>0</v>
      </c>
      <c r="G123" s="231">
        <v>600</v>
      </c>
    </row>
    <row r="124" spans="1:11" ht="49.5" outlineLevel="1" x14ac:dyDescent="0.25">
      <c r="A124" s="324" t="s">
        <v>660</v>
      </c>
      <c r="B124" s="229" t="s">
        <v>385</v>
      </c>
      <c r="C124" s="326">
        <v>2443.9362099999998</v>
      </c>
      <c r="D124" s="22">
        <v>0</v>
      </c>
      <c r="E124" s="22">
        <v>0</v>
      </c>
      <c r="F124" s="22">
        <v>0</v>
      </c>
      <c r="G124" s="231">
        <v>2443.9362099999998</v>
      </c>
    </row>
    <row r="125" spans="1:11" ht="16.5" outlineLevel="1" x14ac:dyDescent="0.25">
      <c r="A125" s="324" t="s">
        <v>636</v>
      </c>
      <c r="B125" s="229" t="s">
        <v>386</v>
      </c>
      <c r="C125" s="326">
        <v>38.149799999999999</v>
      </c>
      <c r="D125" s="22">
        <v>0</v>
      </c>
      <c r="E125" s="22">
        <v>0</v>
      </c>
      <c r="F125" s="22">
        <v>0</v>
      </c>
      <c r="G125" s="231">
        <v>38.149799999999999</v>
      </c>
    </row>
    <row r="126" spans="1:11" s="401" customFormat="1" ht="16.5" customHeight="1" outlineLevel="1" x14ac:dyDescent="0.25">
      <c r="A126" s="319">
        <v>7</v>
      </c>
      <c r="B126" s="398" t="s">
        <v>138</v>
      </c>
      <c r="C126" s="399">
        <f>C127</f>
        <v>483049.76000999997</v>
      </c>
      <c r="D126" s="399">
        <f>D127</f>
        <v>377914.76000999997</v>
      </c>
      <c r="E126" s="399">
        <v>0</v>
      </c>
      <c r="F126" s="399">
        <f>F127</f>
        <v>100000</v>
      </c>
      <c r="G126" s="400">
        <f>G127</f>
        <v>5135</v>
      </c>
      <c r="H126" s="232"/>
      <c r="I126" s="232"/>
    </row>
    <row r="127" spans="1:11" ht="16.5" customHeight="1" outlineLevel="1" x14ac:dyDescent="0.25">
      <c r="A127" s="324" t="s">
        <v>312</v>
      </c>
      <c r="B127" s="229" t="s">
        <v>76</v>
      </c>
      <c r="C127" s="326">
        <v>483049.76000999997</v>
      </c>
      <c r="D127" s="22">
        <v>377914.76000999997</v>
      </c>
      <c r="E127" s="22">
        <v>0</v>
      </c>
      <c r="F127" s="22">
        <v>100000</v>
      </c>
      <c r="G127" s="231">
        <v>5135</v>
      </c>
    </row>
    <row r="128" spans="1:11" ht="33" outlineLevel="1" x14ac:dyDescent="0.25">
      <c r="A128" s="319">
        <v>8</v>
      </c>
      <c r="B128" s="398" t="s">
        <v>292</v>
      </c>
      <c r="C128" s="399">
        <f>SUM(C129:C133)</f>
        <v>133136.90279652629</v>
      </c>
      <c r="D128" s="399">
        <f>SUM(D129:D133)</f>
        <v>0</v>
      </c>
      <c r="E128" s="399">
        <f>SUM(E129:E133)</f>
        <v>0</v>
      </c>
      <c r="F128" s="399">
        <f>SUM(F129:F133)</f>
        <v>126480.05765669997</v>
      </c>
      <c r="G128" s="400">
        <f>SUM(G129:G133)</f>
        <v>6656.8451398263251</v>
      </c>
      <c r="J128" s="237"/>
    </row>
    <row r="129" spans="1:15" ht="148.5" hidden="1" outlineLevel="1" x14ac:dyDescent="0.25">
      <c r="A129" s="351" t="s">
        <v>313</v>
      </c>
      <c r="B129" s="229" t="s">
        <v>647</v>
      </c>
      <c r="C129" s="326">
        <f>'целевые показатели'!I244</f>
        <v>0</v>
      </c>
      <c r="D129" s="22">
        <v>0</v>
      </c>
      <c r="E129" s="22"/>
      <c r="F129" s="327">
        <f>C129*0.95</f>
        <v>0</v>
      </c>
      <c r="G129" s="377">
        <f>C129-F129</f>
        <v>0</v>
      </c>
      <c r="J129" s="237"/>
    </row>
    <row r="130" spans="1:15" ht="33" outlineLevel="1" x14ac:dyDescent="0.25">
      <c r="A130" s="351" t="s">
        <v>313</v>
      </c>
      <c r="B130" s="229" t="s">
        <v>370</v>
      </c>
      <c r="C130" s="326">
        <f>'целевые показатели'!I245</f>
        <v>53978.952089999999</v>
      </c>
      <c r="D130" s="22">
        <v>0</v>
      </c>
      <c r="E130" s="22">
        <v>0</v>
      </c>
      <c r="F130" s="327">
        <f>C130*0.95</f>
        <v>51280.004485499994</v>
      </c>
      <c r="G130" s="377">
        <f>C130-F130</f>
        <v>2698.9476045000047</v>
      </c>
      <c r="J130" s="237"/>
      <c r="K130" s="237"/>
    </row>
    <row r="131" spans="1:15" ht="33" hidden="1" outlineLevel="1" x14ac:dyDescent="0.25">
      <c r="A131" s="351" t="s">
        <v>315</v>
      </c>
      <c r="B131" s="229" t="str">
        <f>'целевые показатели'!B247</f>
        <v>Капитальный ремонт улично-дорожной сети города Орла по ул. Кольцевая</v>
      </c>
      <c r="C131" s="326">
        <f>'целевые показатели'!I247</f>
        <v>0</v>
      </c>
      <c r="D131" s="22">
        <v>0</v>
      </c>
      <c r="E131" s="22"/>
      <c r="F131" s="327">
        <f>C131*0.95</f>
        <v>0</v>
      </c>
      <c r="G131" s="377">
        <f>C131-F131</f>
        <v>0</v>
      </c>
      <c r="J131" s="237"/>
      <c r="K131" s="237"/>
    </row>
    <row r="132" spans="1:15" s="407" customFormat="1" ht="33" hidden="1" outlineLevel="1" x14ac:dyDescent="0.25">
      <c r="A132" s="351" t="s">
        <v>314</v>
      </c>
      <c r="B132" s="402" t="str">
        <f>'целевые показатели'!B249</f>
        <v>Капитальный ремонт улично-дорожной сети города Орла по ул. Деповская</v>
      </c>
      <c r="C132" s="403">
        <f>'целевые показатели'!I249</f>
        <v>3.6842011468252167E-6</v>
      </c>
      <c r="D132" s="404">
        <v>0</v>
      </c>
      <c r="E132" s="404"/>
      <c r="F132" s="404">
        <f>C132*0.95</f>
        <v>3.4999910894839558E-6</v>
      </c>
      <c r="G132" s="405">
        <f>C132-F132</f>
        <v>1.8421005734126092E-7</v>
      </c>
      <c r="H132" s="406"/>
      <c r="I132" s="406"/>
      <c r="K132" s="408"/>
    </row>
    <row r="133" spans="1:15" s="342" customFormat="1" ht="16.5" outlineLevel="1" x14ac:dyDescent="0.25">
      <c r="A133" s="351" t="s">
        <v>315</v>
      </c>
      <c r="B133" s="347" t="str">
        <f>'целевые показатели'!B399</f>
        <v>незадействованный остаток</v>
      </c>
      <c r="C133" s="367">
        <f>'целевые показатели'!I399</f>
        <v>79157.950702842092</v>
      </c>
      <c r="D133" s="343">
        <v>0</v>
      </c>
      <c r="E133" s="343">
        <v>0</v>
      </c>
      <c r="F133" s="343">
        <f>C133*0.95</f>
        <v>75200.053167699982</v>
      </c>
      <c r="G133" s="409">
        <f>C133-F133</f>
        <v>3957.8975351421104</v>
      </c>
      <c r="H133" s="238"/>
      <c r="I133" s="238"/>
      <c r="K133" s="368"/>
    </row>
    <row r="134" spans="1:15" ht="18" customHeight="1" x14ac:dyDescent="0.25">
      <c r="A134" s="762" t="s">
        <v>18</v>
      </c>
      <c r="B134" s="763"/>
      <c r="C134" s="763"/>
      <c r="D134" s="763"/>
      <c r="E134" s="763"/>
      <c r="F134" s="763"/>
      <c r="G134" s="764"/>
      <c r="K134" s="237"/>
      <c r="O134" s="237">
        <f>1017757.4-F135</f>
        <v>1000.9999952464132</v>
      </c>
    </row>
    <row r="135" spans="1:15" x14ac:dyDescent="0.25">
      <c r="A135" s="410">
        <v>1</v>
      </c>
      <c r="B135" s="321" t="s">
        <v>44</v>
      </c>
      <c r="C135" s="313">
        <f>SUM(C137:C148)</f>
        <v>1032029.6666714682</v>
      </c>
      <c r="D135" s="313">
        <f>SUM(D137:D148)</f>
        <v>0</v>
      </c>
      <c r="E135" s="313">
        <f>SUM(E137:E148)</f>
        <v>0</v>
      </c>
      <c r="F135" s="313">
        <f>SUM(F137:F148)</f>
        <v>1016756.4000047536</v>
      </c>
      <c r="G135" s="411">
        <f>SUM(G137:G148)</f>
        <v>15273.266666714633</v>
      </c>
      <c r="K135" s="237"/>
      <c r="O135" s="17">
        <f>O134/99*100</f>
        <v>1011.1111063095083</v>
      </c>
    </row>
    <row r="136" spans="1:15" x14ac:dyDescent="0.25">
      <c r="A136" s="228" t="s">
        <v>45</v>
      </c>
      <c r="B136" s="325" t="s">
        <v>166</v>
      </c>
      <c r="C136" s="22">
        <v>734009.36356642307</v>
      </c>
      <c r="D136" s="372">
        <v>0</v>
      </c>
      <c r="E136" s="372">
        <v>0</v>
      </c>
      <c r="F136" s="22">
        <v>723399.29993080359</v>
      </c>
      <c r="G136" s="231">
        <v>10610.063635664625</v>
      </c>
      <c r="H136" s="238"/>
      <c r="I136" s="412"/>
      <c r="K136" s="237"/>
      <c r="M136" s="237"/>
    </row>
    <row r="137" spans="1:15" x14ac:dyDescent="0.25">
      <c r="A137" s="330" t="s">
        <v>170</v>
      </c>
      <c r="B137" s="241" t="s">
        <v>167</v>
      </c>
      <c r="C137" s="242">
        <v>20000</v>
      </c>
      <c r="D137" s="413">
        <v>0</v>
      </c>
      <c r="E137" s="413">
        <v>0</v>
      </c>
      <c r="F137" s="243">
        <v>19800</v>
      </c>
      <c r="G137" s="244">
        <v>200</v>
      </c>
      <c r="H137" s="238"/>
      <c r="K137" s="237"/>
    </row>
    <row r="138" spans="1:15" ht="31.5" x14ac:dyDescent="0.25">
      <c r="A138" s="330" t="s">
        <v>171</v>
      </c>
      <c r="B138" s="241" t="s">
        <v>176</v>
      </c>
      <c r="C138" s="242">
        <v>100873.39939999999</v>
      </c>
      <c r="D138" s="413">
        <v>0</v>
      </c>
      <c r="E138" s="413">
        <v>0</v>
      </c>
      <c r="F138" s="243">
        <v>99864.665406</v>
      </c>
      <c r="G138" s="244">
        <v>1008.7339939999947</v>
      </c>
      <c r="I138" s="414"/>
      <c r="J138" s="415"/>
      <c r="K138" s="237"/>
    </row>
    <row r="139" spans="1:15" ht="31.5" x14ac:dyDescent="0.25">
      <c r="A139" s="330" t="s">
        <v>172</v>
      </c>
      <c r="B139" s="241" t="s">
        <v>168</v>
      </c>
      <c r="C139" s="242">
        <v>8570.6262054500003</v>
      </c>
      <c r="D139" s="413">
        <v>0</v>
      </c>
      <c r="E139" s="413">
        <v>0</v>
      </c>
      <c r="F139" s="243">
        <v>8484.9199433955</v>
      </c>
      <c r="G139" s="244">
        <v>85.706262054500257</v>
      </c>
      <c r="H139" s="416"/>
      <c r="J139" s="86"/>
      <c r="K139" s="86"/>
    </row>
    <row r="140" spans="1:15" s="342" customFormat="1" ht="31.5" x14ac:dyDescent="0.25">
      <c r="A140" s="417" t="s">
        <v>173</v>
      </c>
      <c r="B140" s="336" t="s">
        <v>402</v>
      </c>
      <c r="C140" s="418">
        <v>2300</v>
      </c>
      <c r="D140" s="419">
        <v>0</v>
      </c>
      <c r="E140" s="419">
        <v>0</v>
      </c>
      <c r="F140" s="420">
        <v>0</v>
      </c>
      <c r="G140" s="421">
        <v>2300</v>
      </c>
      <c r="H140" s="238"/>
      <c r="I140" s="238"/>
      <c r="J140" s="341"/>
      <c r="K140" s="341"/>
    </row>
    <row r="141" spans="1:15" s="342" customFormat="1" ht="63" x14ac:dyDescent="0.25">
      <c r="A141" s="417" t="s">
        <v>384</v>
      </c>
      <c r="B141" s="422" t="s">
        <v>413</v>
      </c>
      <c r="C141" s="418">
        <v>1003</v>
      </c>
      <c r="D141" s="419">
        <v>0</v>
      </c>
      <c r="E141" s="419">
        <v>0</v>
      </c>
      <c r="F141" s="420">
        <v>0</v>
      </c>
      <c r="G141" s="421">
        <v>1003</v>
      </c>
      <c r="H141" s="238"/>
      <c r="I141" s="238"/>
      <c r="J141" s="423"/>
      <c r="K141" s="368"/>
    </row>
    <row r="142" spans="1:15" x14ac:dyDescent="0.25">
      <c r="A142" s="330" t="s">
        <v>648</v>
      </c>
      <c r="B142" s="241" t="s">
        <v>169</v>
      </c>
      <c r="C142" s="242">
        <v>601262.3379610182</v>
      </c>
      <c r="D142" s="413">
        <v>0</v>
      </c>
      <c r="E142" s="413">
        <v>0</v>
      </c>
      <c r="F142" s="243">
        <v>595249.71458140807</v>
      </c>
      <c r="G142" s="244">
        <v>6012.6233796101296</v>
      </c>
      <c r="H142" s="424"/>
      <c r="I142" s="425"/>
      <c r="K142" s="237"/>
    </row>
    <row r="143" spans="1:15" x14ac:dyDescent="0.25">
      <c r="A143" s="228" t="s">
        <v>46</v>
      </c>
      <c r="B143" s="325" t="s">
        <v>23</v>
      </c>
      <c r="C143" s="22">
        <v>44974.949495000001</v>
      </c>
      <c r="D143" s="372">
        <v>0</v>
      </c>
      <c r="E143" s="372">
        <v>0</v>
      </c>
      <c r="F143" s="22">
        <v>44525.200000049997</v>
      </c>
      <c r="G143" s="231">
        <v>449.74949495000328</v>
      </c>
      <c r="K143" s="237"/>
    </row>
    <row r="144" spans="1:15" ht="78.75" x14ac:dyDescent="0.25">
      <c r="A144" s="228" t="s">
        <v>47</v>
      </c>
      <c r="B144" s="325" t="s">
        <v>457</v>
      </c>
      <c r="C144" s="22">
        <v>116193.90360000001</v>
      </c>
      <c r="D144" s="372">
        <v>0</v>
      </c>
      <c r="E144" s="372">
        <v>0</v>
      </c>
      <c r="F144" s="22">
        <v>115031.96456400001</v>
      </c>
      <c r="G144" s="231">
        <v>1161.9390359999961</v>
      </c>
      <c r="I144" s="426"/>
      <c r="J144" s="237"/>
      <c r="K144" s="237"/>
    </row>
    <row r="145" spans="1:12" ht="35.25" customHeight="1" x14ac:dyDescent="0.25">
      <c r="A145" s="228" t="s">
        <v>48</v>
      </c>
      <c r="B145" s="18" t="s">
        <v>223</v>
      </c>
      <c r="C145" s="22">
        <v>35353.535349999998</v>
      </c>
      <c r="D145" s="372">
        <v>0</v>
      </c>
      <c r="E145" s="372">
        <v>0</v>
      </c>
      <c r="F145" s="22">
        <v>34999.999996499995</v>
      </c>
      <c r="G145" s="231">
        <v>353.53535350000311</v>
      </c>
      <c r="K145" s="237"/>
    </row>
    <row r="146" spans="1:12" ht="31.5" x14ac:dyDescent="0.25">
      <c r="A146" s="228" t="s">
        <v>49</v>
      </c>
      <c r="B146" s="18" t="s">
        <v>25</v>
      </c>
      <c r="C146" s="22">
        <v>32050.50505</v>
      </c>
      <c r="D146" s="372">
        <v>0</v>
      </c>
      <c r="E146" s="372">
        <v>0</v>
      </c>
      <c r="F146" s="22">
        <v>31729.9999995</v>
      </c>
      <c r="G146" s="231">
        <v>320.50505049999992</v>
      </c>
      <c r="K146" s="237"/>
    </row>
    <row r="147" spans="1:12" x14ac:dyDescent="0.25">
      <c r="A147" s="228" t="s">
        <v>155</v>
      </c>
      <c r="B147" s="18" t="s">
        <v>154</v>
      </c>
      <c r="C147" s="22">
        <v>1700</v>
      </c>
      <c r="D147" s="372">
        <v>0</v>
      </c>
      <c r="E147" s="372">
        <v>0</v>
      </c>
      <c r="F147" s="22">
        <v>0</v>
      </c>
      <c r="G147" s="239">
        <v>1700</v>
      </c>
      <c r="H147" s="238"/>
      <c r="K147" s="237"/>
    </row>
    <row r="148" spans="1:12" x14ac:dyDescent="0.25">
      <c r="A148" s="228" t="s">
        <v>188</v>
      </c>
      <c r="B148" s="18" t="str">
        <f>'целевые показатели'!B34</f>
        <v>кредиторская задолженность предыдущих лет</v>
      </c>
      <c r="C148" s="22">
        <v>67747.409610000002</v>
      </c>
      <c r="D148" s="372">
        <v>0</v>
      </c>
      <c r="E148" s="372">
        <v>0</v>
      </c>
      <c r="F148" s="22">
        <v>67069.935513899996</v>
      </c>
      <c r="G148" s="231">
        <v>677.47409610000614</v>
      </c>
      <c r="K148" s="237"/>
    </row>
    <row r="149" spans="1:12" ht="31.5" x14ac:dyDescent="0.25">
      <c r="A149" s="410">
        <v>2</v>
      </c>
      <c r="B149" s="321" t="s">
        <v>15</v>
      </c>
      <c r="C149" s="396">
        <f>SUM(C150:C182)</f>
        <v>47381.027369999923</v>
      </c>
      <c r="D149" s="396">
        <f>SUM(D181:D182)</f>
        <v>0</v>
      </c>
      <c r="E149" s="396">
        <f>SUM(E181:E182)</f>
        <v>0</v>
      </c>
      <c r="F149" s="396">
        <f>SUM(F150:F182)</f>
        <v>45620.21709630001</v>
      </c>
      <c r="G149" s="427">
        <f>SUM(G150:G182)</f>
        <v>1760.8102736999981</v>
      </c>
      <c r="J149" s="237"/>
      <c r="K149" s="237"/>
    </row>
    <row r="150" spans="1:12" ht="16.5" x14ac:dyDescent="0.25">
      <c r="A150" s="428" t="s">
        <v>157</v>
      </c>
      <c r="B150" s="229" t="s">
        <v>153</v>
      </c>
      <c r="C150" s="230">
        <v>9370.0302800000009</v>
      </c>
      <c r="D150" s="230">
        <v>0</v>
      </c>
      <c r="E150" s="230">
        <v>0</v>
      </c>
      <c r="F150" s="230">
        <v>9276.3299772000009</v>
      </c>
      <c r="G150" s="429">
        <v>93.700302799999918</v>
      </c>
      <c r="J150" s="237"/>
      <c r="K150" s="237"/>
      <c r="L150" s="237"/>
    </row>
    <row r="151" spans="1:12" ht="16.5" x14ac:dyDescent="0.25">
      <c r="A151" s="228" t="s">
        <v>158</v>
      </c>
      <c r="B151" s="347" t="s">
        <v>466</v>
      </c>
      <c r="C151" s="230">
        <v>33160</v>
      </c>
      <c r="D151" s="230">
        <v>0</v>
      </c>
      <c r="E151" s="230">
        <v>0</v>
      </c>
      <c r="F151" s="230">
        <v>32828.400000000001</v>
      </c>
      <c r="G151" s="429">
        <v>331.59999999999854</v>
      </c>
      <c r="J151" s="237"/>
      <c r="K151" s="237"/>
    </row>
    <row r="152" spans="1:12" ht="33" x14ac:dyDescent="0.25">
      <c r="A152" s="228" t="s">
        <v>159</v>
      </c>
      <c r="B152" s="229" t="s">
        <v>438</v>
      </c>
      <c r="C152" s="230">
        <v>212.51168000000001</v>
      </c>
      <c r="D152" s="230">
        <v>0</v>
      </c>
      <c r="E152" s="230">
        <v>0</v>
      </c>
      <c r="F152" s="230">
        <v>0</v>
      </c>
      <c r="G152" s="430">
        <v>212.51168000000001</v>
      </c>
      <c r="H152" s="238"/>
      <c r="J152" s="237"/>
      <c r="K152" s="237"/>
    </row>
    <row r="153" spans="1:12" ht="33" x14ac:dyDescent="0.25">
      <c r="A153" s="228" t="s">
        <v>160</v>
      </c>
      <c r="B153" s="229" t="str">
        <f>'целевые показатели'!B75</f>
        <v>Ремонт ул.Комсомольская (элементы обустройства автомобильных дорог)</v>
      </c>
      <c r="C153" s="230">
        <v>77.045190000000005</v>
      </c>
      <c r="D153" s="230">
        <v>0</v>
      </c>
      <c r="E153" s="230">
        <v>0</v>
      </c>
      <c r="F153" s="230">
        <v>76.274738100000008</v>
      </c>
      <c r="G153" s="430">
        <v>0.77045189999999764</v>
      </c>
      <c r="H153" s="238"/>
      <c r="J153" s="237"/>
      <c r="K153" s="237"/>
    </row>
    <row r="154" spans="1:12" ht="33" x14ac:dyDescent="0.25">
      <c r="A154" s="228" t="s">
        <v>437</v>
      </c>
      <c r="B154" s="229" t="str">
        <f>'целевые показатели'!B76</f>
        <v>Ремонт ул. Октябрьская (элементы обустройства автомобильных дорог)</v>
      </c>
      <c r="C154" s="230">
        <v>25.681730000000002</v>
      </c>
      <c r="D154" s="230">
        <v>0</v>
      </c>
      <c r="E154" s="230">
        <v>0</v>
      </c>
      <c r="F154" s="230">
        <v>25.4249127</v>
      </c>
      <c r="G154" s="429">
        <v>0.25681730000000158</v>
      </c>
      <c r="H154" s="238"/>
      <c r="J154" s="237"/>
      <c r="K154" s="237"/>
    </row>
    <row r="155" spans="1:12" ht="33" x14ac:dyDescent="0.25">
      <c r="A155" s="228" t="s">
        <v>161</v>
      </c>
      <c r="B155" s="229" t="s">
        <v>331</v>
      </c>
      <c r="C155" s="230">
        <v>410.90768000000003</v>
      </c>
      <c r="D155" s="230">
        <v>0</v>
      </c>
      <c r="E155" s="230">
        <v>0</v>
      </c>
      <c r="F155" s="230">
        <v>406.7986032</v>
      </c>
      <c r="G155" s="429">
        <v>4.1090768000000253</v>
      </c>
      <c r="H155" s="238"/>
      <c r="J155" s="237"/>
      <c r="K155" s="237"/>
    </row>
    <row r="156" spans="1:12" ht="33" x14ac:dyDescent="0.25">
      <c r="A156" s="228" t="s">
        <v>162</v>
      </c>
      <c r="B156" s="229" t="str">
        <f>'целевые показатели'!B90</f>
        <v>Ремонт Новосильское шоссе (элементы обустройства автомобильных дорог)</v>
      </c>
      <c r="C156" s="230">
        <v>25.681730000000002</v>
      </c>
      <c r="D156" s="230">
        <v>0</v>
      </c>
      <c r="E156" s="230">
        <v>0</v>
      </c>
      <c r="F156" s="230">
        <v>25.4249127</v>
      </c>
      <c r="G156" s="429">
        <v>0.25681730000000158</v>
      </c>
      <c r="H156" s="238"/>
      <c r="J156" s="237"/>
      <c r="K156" s="237"/>
    </row>
    <row r="157" spans="1:12" ht="33" x14ac:dyDescent="0.25">
      <c r="A157" s="228" t="s">
        <v>163</v>
      </c>
      <c r="B157" s="229" t="str">
        <f>'целевые показатели'!B91</f>
        <v>Ремонт ул. Ливенская (элементы обустройства автомобильных дорог)</v>
      </c>
      <c r="C157" s="230">
        <v>25.681730000000002</v>
      </c>
      <c r="D157" s="230">
        <v>0</v>
      </c>
      <c r="E157" s="230">
        <v>0</v>
      </c>
      <c r="F157" s="230">
        <v>25.4249127</v>
      </c>
      <c r="G157" s="429">
        <v>0.25681730000000158</v>
      </c>
      <c r="H157" s="238"/>
      <c r="J157" s="237"/>
      <c r="K157" s="237"/>
    </row>
    <row r="158" spans="1:12" ht="33" x14ac:dyDescent="0.25">
      <c r="A158" s="228" t="s">
        <v>164</v>
      </c>
      <c r="B158" s="229" t="s">
        <v>332</v>
      </c>
      <c r="C158" s="230">
        <v>436.58941000000004</v>
      </c>
      <c r="D158" s="230">
        <v>0</v>
      </c>
      <c r="E158" s="230">
        <v>0</v>
      </c>
      <c r="F158" s="230">
        <v>432.22351590000005</v>
      </c>
      <c r="G158" s="429">
        <v>4.3658940999999913</v>
      </c>
      <c r="H158" s="238"/>
      <c r="J158" s="237"/>
      <c r="K158" s="237"/>
    </row>
    <row r="159" spans="1:12" ht="33" x14ac:dyDescent="0.25">
      <c r="A159" s="228" t="s">
        <v>422</v>
      </c>
      <c r="B159" s="229" t="s">
        <v>336</v>
      </c>
      <c r="C159" s="230">
        <v>25.681730000000002</v>
      </c>
      <c r="D159" s="230">
        <v>0</v>
      </c>
      <c r="E159" s="230">
        <v>0</v>
      </c>
      <c r="F159" s="230">
        <v>25.4249127</v>
      </c>
      <c r="G159" s="429">
        <v>0.25681730000000158</v>
      </c>
      <c r="H159" s="238"/>
      <c r="J159" s="237"/>
      <c r="K159" s="237"/>
    </row>
    <row r="160" spans="1:12" ht="33" x14ac:dyDescent="0.25">
      <c r="A160" s="228" t="s">
        <v>446</v>
      </c>
      <c r="B160" s="229" t="s">
        <v>337</v>
      </c>
      <c r="C160" s="230">
        <v>102.72692000000001</v>
      </c>
      <c r="D160" s="230">
        <v>0</v>
      </c>
      <c r="E160" s="230">
        <v>0</v>
      </c>
      <c r="F160" s="230">
        <v>101.6996508</v>
      </c>
      <c r="G160" s="429">
        <v>1.0272692000000063</v>
      </c>
      <c r="H160" s="238"/>
      <c r="J160" s="237"/>
      <c r="K160" s="237"/>
    </row>
    <row r="161" spans="1:11" ht="33" x14ac:dyDescent="0.25">
      <c r="A161" s="228" t="s">
        <v>447</v>
      </c>
      <c r="B161" s="229" t="s">
        <v>339</v>
      </c>
      <c r="C161" s="230">
        <v>25.681730000000002</v>
      </c>
      <c r="D161" s="230">
        <v>0</v>
      </c>
      <c r="E161" s="230">
        <v>0</v>
      </c>
      <c r="F161" s="230">
        <v>25.4249127</v>
      </c>
      <c r="G161" s="429">
        <v>0.25681730000000158</v>
      </c>
      <c r="H161" s="238"/>
      <c r="J161" s="237"/>
      <c r="K161" s="237"/>
    </row>
    <row r="162" spans="1:11" ht="33" x14ac:dyDescent="0.25">
      <c r="A162" s="228" t="s">
        <v>448</v>
      </c>
      <c r="B162" s="229" t="s">
        <v>338</v>
      </c>
      <c r="C162" s="230">
        <v>25.681730000000002</v>
      </c>
      <c r="D162" s="230">
        <v>0</v>
      </c>
      <c r="E162" s="230">
        <v>0</v>
      </c>
      <c r="F162" s="230">
        <v>25.4249127</v>
      </c>
      <c r="G162" s="429">
        <v>0.25681730000000158</v>
      </c>
      <c r="H162" s="238"/>
      <c r="J162" s="237"/>
      <c r="K162" s="237"/>
    </row>
    <row r="163" spans="1:11" ht="33" x14ac:dyDescent="0.25">
      <c r="A163" s="228" t="s">
        <v>449</v>
      </c>
      <c r="B163" s="229" t="str">
        <f>'целевые показатели'!B92</f>
        <v>Ремонт ул. Паровозная (элементы обустройства автомобильных дорог)</v>
      </c>
      <c r="C163" s="230">
        <v>51.363460000000003</v>
      </c>
      <c r="D163" s="230">
        <v>0</v>
      </c>
      <c r="E163" s="230">
        <v>0</v>
      </c>
      <c r="F163" s="230">
        <v>50.8498254</v>
      </c>
      <c r="G163" s="429">
        <v>0.51363460000000316</v>
      </c>
      <c r="H163" s="238"/>
      <c r="J163" s="237"/>
      <c r="K163" s="237"/>
    </row>
    <row r="164" spans="1:11" ht="33" x14ac:dyDescent="0.25">
      <c r="A164" s="228" t="s">
        <v>450</v>
      </c>
      <c r="B164" s="229" t="s">
        <v>440</v>
      </c>
      <c r="C164" s="230">
        <v>179.77211</v>
      </c>
      <c r="D164" s="230">
        <v>0</v>
      </c>
      <c r="E164" s="230">
        <v>0</v>
      </c>
      <c r="F164" s="230">
        <v>177.97438890000001</v>
      </c>
      <c r="G164" s="429">
        <v>1.7977210999999897</v>
      </c>
      <c r="H164" s="238"/>
      <c r="J164" s="237"/>
      <c r="K164" s="237"/>
    </row>
    <row r="165" spans="1:11" ht="33" x14ac:dyDescent="0.25">
      <c r="A165" s="228" t="s">
        <v>451</v>
      </c>
      <c r="B165" s="229" t="s">
        <v>441</v>
      </c>
      <c r="C165" s="230">
        <v>77.045190000000005</v>
      </c>
      <c r="D165" s="230">
        <v>0</v>
      </c>
      <c r="E165" s="230">
        <v>0</v>
      </c>
      <c r="F165" s="230">
        <v>76.274738100000008</v>
      </c>
      <c r="G165" s="429">
        <v>0.77045189999999764</v>
      </c>
      <c r="H165" s="238"/>
      <c r="J165" s="237"/>
      <c r="K165" s="237"/>
    </row>
    <row r="166" spans="1:11" ht="33" x14ac:dyDescent="0.25">
      <c r="A166" s="228" t="s">
        <v>461</v>
      </c>
      <c r="B166" s="229" t="s">
        <v>442</v>
      </c>
      <c r="C166" s="230">
        <v>25.681730000000002</v>
      </c>
      <c r="D166" s="230">
        <v>0</v>
      </c>
      <c r="E166" s="230">
        <v>0</v>
      </c>
      <c r="F166" s="230">
        <v>25.4249127</v>
      </c>
      <c r="G166" s="429">
        <v>0.25681730000000158</v>
      </c>
      <c r="J166" s="237"/>
      <c r="K166" s="237"/>
    </row>
    <row r="167" spans="1:11" ht="33" x14ac:dyDescent="0.25">
      <c r="A167" s="228" t="s">
        <v>462</v>
      </c>
      <c r="B167" s="229" t="s">
        <v>445</v>
      </c>
      <c r="C167" s="230">
        <v>25.681730000000002</v>
      </c>
      <c r="D167" s="230">
        <v>0</v>
      </c>
      <c r="E167" s="230">
        <v>0</v>
      </c>
      <c r="F167" s="230">
        <v>25.4249127</v>
      </c>
      <c r="G167" s="429">
        <v>0.25681730000000158</v>
      </c>
      <c r="J167" s="237"/>
      <c r="K167" s="237"/>
    </row>
    <row r="168" spans="1:11" ht="33" x14ac:dyDescent="0.25">
      <c r="A168" s="228" t="s">
        <v>464</v>
      </c>
      <c r="B168" s="229" t="s">
        <v>443</v>
      </c>
      <c r="C168" s="230">
        <v>25.681730000000002</v>
      </c>
      <c r="D168" s="230">
        <v>0</v>
      </c>
      <c r="E168" s="230">
        <v>0</v>
      </c>
      <c r="F168" s="230">
        <v>25.4249127</v>
      </c>
      <c r="G168" s="429">
        <v>0.25681730000000158</v>
      </c>
      <c r="J168" s="237"/>
      <c r="K168" s="237"/>
    </row>
    <row r="169" spans="1:11" ht="33" x14ac:dyDescent="0.25">
      <c r="A169" s="228" t="s">
        <v>465</v>
      </c>
      <c r="B169" s="229" t="s">
        <v>649</v>
      </c>
      <c r="C169" s="230">
        <v>25.681730000000002</v>
      </c>
      <c r="D169" s="230">
        <v>0</v>
      </c>
      <c r="E169" s="230">
        <v>0</v>
      </c>
      <c r="F169" s="230">
        <v>25.4249127</v>
      </c>
      <c r="G169" s="429">
        <v>0.25681730000000158</v>
      </c>
      <c r="J169" s="237"/>
      <c r="K169" s="237"/>
    </row>
    <row r="170" spans="1:11" ht="33" x14ac:dyDescent="0.25">
      <c r="A170" s="228" t="s">
        <v>467</v>
      </c>
      <c r="B170" s="229" t="str">
        <f>'целевые показатели'!B100</f>
        <v>Ремонт ул.Городская (элементы обустройства автомобильных дорог)</v>
      </c>
      <c r="C170" s="230">
        <v>25.681730000000002</v>
      </c>
      <c r="D170" s="230">
        <v>0</v>
      </c>
      <c r="E170" s="230">
        <v>0</v>
      </c>
      <c r="F170" s="230">
        <v>25.4249127</v>
      </c>
      <c r="G170" s="429">
        <v>0.25681730000000158</v>
      </c>
      <c r="J170" s="237"/>
      <c r="K170" s="237"/>
    </row>
    <row r="171" spans="1:11" ht="33" x14ac:dyDescent="0.25">
      <c r="A171" s="228" t="s">
        <v>470</v>
      </c>
      <c r="B171" s="229" t="str">
        <f>'целевые показатели'!B101</f>
        <v>Ремонт ул.1-я Курская (элементы обустройства автомобильных дорог)</v>
      </c>
      <c r="C171" s="230">
        <v>77.045190000000005</v>
      </c>
      <c r="D171" s="230">
        <v>0</v>
      </c>
      <c r="E171" s="230">
        <v>0</v>
      </c>
      <c r="F171" s="230">
        <v>76.274738100000008</v>
      </c>
      <c r="G171" s="429">
        <v>0.77045189999999764</v>
      </c>
      <c r="J171" s="237"/>
      <c r="K171" s="237"/>
    </row>
    <row r="172" spans="1:11" ht="33" customHeight="1" x14ac:dyDescent="0.25">
      <c r="A172" s="228" t="s">
        <v>473</v>
      </c>
      <c r="B172" s="229" t="str">
        <f>'целевые показатели'!B102</f>
        <v>Ремонт ул. Садово-Пушкарная (сквер "Комсомольцев") (элементы обустройства автомобильных дорог)</v>
      </c>
      <c r="C172" s="230">
        <v>25.681730000000002</v>
      </c>
      <c r="D172" s="230">
        <v>0</v>
      </c>
      <c r="E172" s="230">
        <v>0</v>
      </c>
      <c r="F172" s="230">
        <v>25.4249127</v>
      </c>
      <c r="G172" s="429">
        <v>0.25681730000000158</v>
      </c>
      <c r="J172" s="237"/>
      <c r="K172" s="237"/>
    </row>
    <row r="173" spans="1:11" ht="33" customHeight="1" x14ac:dyDescent="0.25">
      <c r="A173" s="228" t="s">
        <v>474</v>
      </c>
      <c r="B173" s="229" t="str">
        <f>'целевые показатели'!B103</f>
        <v>Ремонт ул. Скворцова (элементы обустройства автомобильных дорог)</v>
      </c>
      <c r="C173" s="230">
        <v>25.681730000000002</v>
      </c>
      <c r="D173" s="230">
        <v>0</v>
      </c>
      <c r="E173" s="230">
        <v>0</v>
      </c>
      <c r="F173" s="230">
        <v>25.4249127</v>
      </c>
      <c r="G173" s="429">
        <v>0.25681730000000158</v>
      </c>
      <c r="J173" s="237"/>
      <c r="K173" s="237"/>
    </row>
    <row r="174" spans="1:11" ht="33" customHeight="1" x14ac:dyDescent="0.25">
      <c r="A174" s="228" t="s">
        <v>476</v>
      </c>
      <c r="B174" s="229" t="str">
        <f>'целевые показатели'!B105</f>
        <v>Ремонт ул.Полярная (элементы обустройства автомобильных дорог)</v>
      </c>
      <c r="C174" s="230">
        <v>51.363460000000003</v>
      </c>
      <c r="D174" s="230">
        <v>0</v>
      </c>
      <c r="E174" s="230">
        <v>0</v>
      </c>
      <c r="F174" s="230">
        <v>50.8498254</v>
      </c>
      <c r="G174" s="429">
        <v>0.51363460000000316</v>
      </c>
      <c r="J174" s="237"/>
      <c r="K174" s="237"/>
    </row>
    <row r="175" spans="1:11" ht="33" x14ac:dyDescent="0.25">
      <c r="A175" s="228" t="s">
        <v>478</v>
      </c>
      <c r="B175" s="229" t="str">
        <f>'целевые показатели'!B105</f>
        <v>Ремонт ул.Полярная (элементы обустройства автомобильных дорог)</v>
      </c>
      <c r="C175" s="230">
        <v>51.363460000000003</v>
      </c>
      <c r="D175" s="230">
        <v>0</v>
      </c>
      <c r="E175" s="230">
        <v>0</v>
      </c>
      <c r="F175" s="230">
        <v>50.8498254</v>
      </c>
      <c r="G175" s="429">
        <v>0.51363460000000316</v>
      </c>
      <c r="H175" s="238"/>
      <c r="J175" s="237"/>
      <c r="K175" s="237"/>
    </row>
    <row r="176" spans="1:11" ht="33" x14ac:dyDescent="0.25">
      <c r="A176" s="228" t="s">
        <v>498</v>
      </c>
      <c r="B176" s="229" t="str">
        <f>'целевые показатели'!B106</f>
        <v>Ремонт ул.Левый Берег реки Орлик "ТРУД" (элементы обустройства автомобильных дорог)</v>
      </c>
      <c r="C176" s="230">
        <v>25.681730000000002</v>
      </c>
      <c r="D176" s="230">
        <v>0</v>
      </c>
      <c r="E176" s="230">
        <v>0</v>
      </c>
      <c r="F176" s="230">
        <v>25.4249127</v>
      </c>
      <c r="G176" s="429">
        <v>0.25681730000000158</v>
      </c>
      <c r="H176" s="238"/>
      <c r="J176" s="237"/>
      <c r="K176" s="237"/>
    </row>
    <row r="177" spans="1:12" ht="33" x14ac:dyDescent="0.25">
      <c r="A177" s="228" t="s">
        <v>499</v>
      </c>
      <c r="B177" s="229" t="str">
        <f>'целевые показатели'!B107</f>
        <v>Ремонт Старомосковское шоссе (элементы обустройства автомобильных дорог)</v>
      </c>
      <c r="C177" s="230">
        <v>25.681730000000002</v>
      </c>
      <c r="D177" s="230">
        <v>0</v>
      </c>
      <c r="E177" s="230">
        <v>0</v>
      </c>
      <c r="F177" s="230">
        <v>25.4249127</v>
      </c>
      <c r="G177" s="429">
        <v>0.25681730000000158</v>
      </c>
      <c r="H177" s="238"/>
      <c r="J177" s="237"/>
      <c r="K177" s="237"/>
    </row>
    <row r="178" spans="1:12" ht="33" x14ac:dyDescent="0.25">
      <c r="A178" s="228" t="s">
        <v>500</v>
      </c>
      <c r="B178" s="229" t="str">
        <f>'целевые показатели'!B108</f>
        <v>Ремонт ул.Игнатова (элементы обустройства автомобильных дорог)</v>
      </c>
      <c r="C178" s="230">
        <v>25.681730000000002</v>
      </c>
      <c r="D178" s="230">
        <v>0</v>
      </c>
      <c r="E178" s="230">
        <v>0</v>
      </c>
      <c r="F178" s="230">
        <v>25.4249127</v>
      </c>
      <c r="G178" s="429">
        <v>0.25681730000000158</v>
      </c>
      <c r="H178" s="238"/>
      <c r="J178" s="237"/>
      <c r="K178" s="237"/>
    </row>
    <row r="179" spans="1:12" ht="33" x14ac:dyDescent="0.25">
      <c r="A179" s="228" t="s">
        <v>501</v>
      </c>
      <c r="B179" s="229" t="str">
        <f>'целевые показатели'!B109</f>
        <v>Ремонт пл.Богоявленской (элементы обустройства автомобильных дорог)</v>
      </c>
      <c r="C179" s="230">
        <v>25.681730000000002</v>
      </c>
      <c r="D179" s="230">
        <v>0</v>
      </c>
      <c r="E179" s="230">
        <v>0</v>
      </c>
      <c r="F179" s="230">
        <v>25.4249127</v>
      </c>
      <c r="G179" s="429">
        <v>0.25681730000000158</v>
      </c>
      <c r="H179" s="238"/>
      <c r="J179" s="237"/>
      <c r="K179" s="237"/>
    </row>
    <row r="180" spans="1:12" ht="33" x14ac:dyDescent="0.25">
      <c r="A180" s="228" t="s">
        <v>502</v>
      </c>
      <c r="B180" s="229" t="str">
        <f>'целевые показатели'!B110</f>
        <v>Ремонт ул.Гуртьева (элементы обустройства автомобильных дорог)</v>
      </c>
      <c r="C180" s="230">
        <v>25.681730000000002</v>
      </c>
      <c r="D180" s="230">
        <v>0</v>
      </c>
      <c r="E180" s="230">
        <v>0</v>
      </c>
      <c r="F180" s="230">
        <v>25.4249127</v>
      </c>
      <c r="G180" s="429">
        <v>0.25681730000000158</v>
      </c>
      <c r="H180" s="238"/>
      <c r="J180" s="237"/>
      <c r="K180" s="237"/>
    </row>
    <row r="181" spans="1:12" ht="21" customHeight="1" x14ac:dyDescent="0.25">
      <c r="A181" s="228" t="s">
        <v>503</v>
      </c>
      <c r="B181" s="18" t="s">
        <v>458</v>
      </c>
      <c r="C181" s="22">
        <v>1573.50388</v>
      </c>
      <c r="D181" s="22">
        <v>0</v>
      </c>
      <c r="E181" s="230">
        <v>0</v>
      </c>
      <c r="F181" s="230">
        <v>1557.7688412</v>
      </c>
      <c r="G181" s="235">
        <v>15.735038799999984</v>
      </c>
      <c r="H181" s="348"/>
      <c r="J181" s="431"/>
      <c r="K181" s="431"/>
    </row>
    <row r="182" spans="1:12" ht="36" customHeight="1" x14ac:dyDescent="0.25">
      <c r="A182" s="228" t="s">
        <v>504</v>
      </c>
      <c r="B182" s="18" t="s">
        <v>27</v>
      </c>
      <c r="C182" s="22">
        <v>1087.4883199999999</v>
      </c>
      <c r="D182" s="22">
        <v>0</v>
      </c>
      <c r="E182" s="230">
        <v>0</v>
      </c>
      <c r="F182" s="22">
        <v>0</v>
      </c>
      <c r="G182" s="496">
        <v>1087.4883199999999</v>
      </c>
      <c r="H182" s="238"/>
      <c r="I182" s="432"/>
      <c r="J182" s="433"/>
      <c r="K182" s="237"/>
      <c r="L182" s="237"/>
    </row>
    <row r="183" spans="1:12" ht="94.5" x14ac:dyDescent="0.25">
      <c r="A183" s="410">
        <v>3</v>
      </c>
      <c r="B183" s="321" t="s">
        <v>426</v>
      </c>
      <c r="C183" s="313">
        <f>SUM(C184:C190)</f>
        <v>425536.45455000002</v>
      </c>
      <c r="D183" s="313">
        <f>SUM(D184:D185)</f>
        <v>0</v>
      </c>
      <c r="E183" s="313">
        <f>SUM(E184:E190)</f>
        <v>0</v>
      </c>
      <c r="F183" s="313">
        <f>SUM(F184:F190)</f>
        <v>418280.40000449994</v>
      </c>
      <c r="G183" s="495">
        <f>SUM(G184:G190)</f>
        <v>7256.0545455000101</v>
      </c>
      <c r="I183" s="245"/>
      <c r="J183" s="142"/>
      <c r="K183" s="431"/>
    </row>
    <row r="184" spans="1:12" ht="31.5" x14ac:dyDescent="0.25">
      <c r="A184" s="228" t="s">
        <v>68</v>
      </c>
      <c r="B184" s="18" t="str">
        <f>'целевые показатели'!B145</f>
        <v>Карачевское шоссе, 2 этап (на участке от ул.Мостовой до черты города)</v>
      </c>
      <c r="C184" s="22">
        <v>91884.078980000006</v>
      </c>
      <c r="D184" s="22">
        <v>0</v>
      </c>
      <c r="E184" s="22">
        <v>0</v>
      </c>
      <c r="F184" s="22">
        <v>90965.238190200005</v>
      </c>
      <c r="G184" s="328">
        <v>918.84078980000049</v>
      </c>
      <c r="J184" s="237"/>
      <c r="K184" s="237"/>
    </row>
    <row r="185" spans="1:12" ht="31.5" x14ac:dyDescent="0.25">
      <c r="A185" s="228" t="s">
        <v>69</v>
      </c>
      <c r="B185" s="18" t="str">
        <f>'целевые показатели'!B146</f>
        <v>ул.Комсомольская от Карачевского шоссе до Кромского шоссе (проезжая часть)</v>
      </c>
      <c r="C185" s="22">
        <v>141186.55783999999</v>
      </c>
      <c r="D185" s="22">
        <v>0</v>
      </c>
      <c r="E185" s="22">
        <v>0</v>
      </c>
      <c r="F185" s="22">
        <v>139774.69226159999</v>
      </c>
      <c r="G185" s="328">
        <v>1411.8655784000002</v>
      </c>
      <c r="K185" s="237"/>
    </row>
    <row r="186" spans="1:12" ht="45.75" customHeight="1" x14ac:dyDescent="0.25">
      <c r="A186" s="228" t="s">
        <v>70</v>
      </c>
      <c r="B186" s="646" t="str">
        <f>'целевые показатели'!B148</f>
        <v>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v>
      </c>
      <c r="C186" s="22">
        <v>56709.861400000002</v>
      </c>
      <c r="D186" s="22">
        <v>0</v>
      </c>
      <c r="E186" s="22">
        <v>0</v>
      </c>
      <c r="F186" s="22">
        <v>56142.762785999999</v>
      </c>
      <c r="G186" s="328">
        <v>567.09861400000227</v>
      </c>
      <c r="K186" s="237"/>
    </row>
    <row r="187" spans="1:12" ht="19.5" customHeight="1" x14ac:dyDescent="0.25">
      <c r="A187" s="228" t="s">
        <v>71</v>
      </c>
      <c r="B187" s="18" t="str">
        <f>'целевые показатели'!B155</f>
        <v>Ремонт улично-дорожной сети города Орла: ул.Бурова</v>
      </c>
      <c r="C187" s="22">
        <v>86344.368130000003</v>
      </c>
      <c r="D187" s="22">
        <v>0</v>
      </c>
      <c r="E187" s="22">
        <v>0</v>
      </c>
      <c r="F187" s="22">
        <v>85480.924448699996</v>
      </c>
      <c r="G187" s="328">
        <v>863.44368130000657</v>
      </c>
      <c r="K187" s="237"/>
    </row>
    <row r="188" spans="1:12" ht="63.75" customHeight="1" x14ac:dyDescent="0.25">
      <c r="A188" s="228" t="s">
        <v>72</v>
      </c>
      <c r="B188" s="18" t="str">
        <f>'целевые показатели'!B156</f>
        <v>Капитальный ремонт автомобильной дороги города Орла по ул. Раздольная от Болховского шоссе до ул. Михалицына с территорией моста через р. Ока "Раздольный" и путепровода "378 км по ул. Михалицына"</v>
      </c>
      <c r="C188" s="22">
        <v>46380.588199999998</v>
      </c>
      <c r="D188" s="22">
        <v>0</v>
      </c>
      <c r="E188" s="22">
        <v>0</v>
      </c>
      <c r="F188" s="22">
        <v>45916.782317999998</v>
      </c>
      <c r="G188" s="328">
        <v>463.80588200000057</v>
      </c>
      <c r="K188" s="237"/>
    </row>
    <row r="189" spans="1:12" ht="18" customHeight="1" x14ac:dyDescent="0.25">
      <c r="A189" s="228" t="s">
        <v>486</v>
      </c>
      <c r="B189" s="18" t="s">
        <v>26</v>
      </c>
      <c r="C189" s="22">
        <v>0</v>
      </c>
      <c r="D189" s="22">
        <v>0</v>
      </c>
      <c r="E189" s="22">
        <v>0</v>
      </c>
      <c r="F189" s="22">
        <v>0</v>
      </c>
      <c r="G189" s="328">
        <v>0</v>
      </c>
      <c r="K189" s="237"/>
    </row>
    <row r="190" spans="1:12" ht="33" x14ac:dyDescent="0.25">
      <c r="A190" s="228" t="s">
        <v>487</v>
      </c>
      <c r="B190" s="229" t="s">
        <v>27</v>
      </c>
      <c r="C190" s="22">
        <v>3031</v>
      </c>
      <c r="D190" s="22">
        <v>0</v>
      </c>
      <c r="E190" s="22">
        <v>0</v>
      </c>
      <c r="F190" s="22">
        <v>0</v>
      </c>
      <c r="G190" s="328">
        <v>3031</v>
      </c>
      <c r="H190" s="238"/>
      <c r="J190" s="237"/>
      <c r="K190" s="237"/>
      <c r="L190" s="316"/>
    </row>
    <row r="191" spans="1:12" ht="49.5" x14ac:dyDescent="0.25">
      <c r="A191" s="228">
        <v>4</v>
      </c>
      <c r="B191" s="398" t="s">
        <v>13</v>
      </c>
      <c r="C191" s="313">
        <f>SUM(C192:C194)</f>
        <v>2200</v>
      </c>
      <c r="D191" s="313">
        <f>SUM(D192:D194)</f>
        <v>0</v>
      </c>
      <c r="E191" s="313">
        <f>SUM(E192:E194)</f>
        <v>0</v>
      </c>
      <c r="F191" s="313">
        <f>SUM(F192:F194)</f>
        <v>0</v>
      </c>
      <c r="G191" s="495">
        <f>SUM(G192:G194)</f>
        <v>2200</v>
      </c>
      <c r="H191" s="238"/>
      <c r="J191" s="237"/>
      <c r="K191" s="237"/>
      <c r="L191" s="316"/>
    </row>
    <row r="192" spans="1:12" ht="33" x14ac:dyDescent="0.25">
      <c r="A192" s="228" t="s">
        <v>380</v>
      </c>
      <c r="B192" s="229" t="str">
        <f>'целевые показатели'!B172</f>
        <v>разработка проекта организации дорожного движения по автомобильным дорогам города Орла</v>
      </c>
      <c r="C192" s="22">
        <f>'целевые показатели'!J172</f>
        <v>150</v>
      </c>
      <c r="D192" s="22">
        <v>0</v>
      </c>
      <c r="E192" s="22">
        <v>0</v>
      </c>
      <c r="F192" s="22">
        <v>0</v>
      </c>
      <c r="G192" s="328">
        <f>C192-F192</f>
        <v>150</v>
      </c>
      <c r="H192" s="238"/>
      <c r="J192" s="237"/>
      <c r="K192" s="237"/>
    </row>
    <row r="193" spans="1:11" ht="49.5" x14ac:dyDescent="0.25">
      <c r="A193" s="228" t="s">
        <v>415</v>
      </c>
      <c r="B193" s="229" t="str">
        <f>'целевые показатели'!B183</f>
        <v>устройство (монтаж) недостающих средств организации и регулирования дорожного движения в районе дома № 1 по ул.Металлургов</v>
      </c>
      <c r="C193" s="22">
        <f>'целевые показатели'!J173</f>
        <v>150</v>
      </c>
      <c r="D193" s="22">
        <v>0</v>
      </c>
      <c r="E193" s="22">
        <v>0</v>
      </c>
      <c r="F193" s="22">
        <v>0</v>
      </c>
      <c r="G193" s="231">
        <f>C193-F193</f>
        <v>150</v>
      </c>
      <c r="H193" s="238"/>
      <c r="K193" s="237"/>
    </row>
    <row r="194" spans="1:11" ht="18.75" customHeight="1" x14ac:dyDescent="0.25">
      <c r="A194" s="228" t="s">
        <v>416</v>
      </c>
      <c r="B194" s="229" t="str">
        <f>'целевые показатели'!B195</f>
        <v>установка дорожных знаков и нанесения дорожной разметки</v>
      </c>
      <c r="C194" s="22">
        <f>'целевые показатели'!J195</f>
        <v>1900</v>
      </c>
      <c r="D194" s="22">
        <v>0</v>
      </c>
      <c r="E194" s="22">
        <v>0</v>
      </c>
      <c r="F194" s="22">
        <v>0</v>
      </c>
      <c r="G194" s="231">
        <f>C194-F194</f>
        <v>1900</v>
      </c>
      <c r="H194" s="238"/>
      <c r="K194" s="237"/>
    </row>
    <row r="195" spans="1:11" ht="110.25" x14ac:dyDescent="0.25">
      <c r="A195" s="410">
        <v>5</v>
      </c>
      <c r="B195" s="394" t="s">
        <v>427</v>
      </c>
      <c r="C195" s="313">
        <f>'целевые показатели'!J205</f>
        <v>149100</v>
      </c>
      <c r="D195" s="313">
        <f>'целевые показатели'!J210</f>
        <v>106692.1</v>
      </c>
      <c r="E195" s="313">
        <v>0</v>
      </c>
      <c r="F195" s="313">
        <f>'целевые показатели'!J210</f>
        <v>106692.1</v>
      </c>
      <c r="G195" s="411">
        <f>'целевые показатели'!J211</f>
        <v>0</v>
      </c>
      <c r="H195" s="238"/>
      <c r="K195" s="237"/>
    </row>
    <row r="196" spans="1:11" ht="47.25" x14ac:dyDescent="0.25">
      <c r="A196" s="410">
        <v>6</v>
      </c>
      <c r="B196" s="321" t="s">
        <v>11</v>
      </c>
      <c r="C196" s="22">
        <f>'целевые показатели'!J214</f>
        <v>0</v>
      </c>
      <c r="D196" s="22">
        <f>'целевые показатели'!J229</f>
        <v>0</v>
      </c>
      <c r="E196" s="22">
        <v>0</v>
      </c>
      <c r="F196" s="22">
        <f>'целевые показатели'!J229</f>
        <v>0</v>
      </c>
      <c r="G196" s="231">
        <f>'целевые показатели'!J230</f>
        <v>0</v>
      </c>
      <c r="H196" s="238"/>
      <c r="K196" s="237"/>
    </row>
    <row r="197" spans="1:11" ht="18" customHeight="1" x14ac:dyDescent="0.25">
      <c r="A197" s="410">
        <v>7</v>
      </c>
      <c r="B197" s="398" t="s">
        <v>138</v>
      </c>
      <c r="C197" s="313">
        <f>SUM(C198)</f>
        <v>1518965.3725858587</v>
      </c>
      <c r="D197" s="313">
        <f>SUM(D198)</f>
        <v>1498901.8</v>
      </c>
      <c r="E197" s="313">
        <f>SUM(E198)</f>
        <v>0</v>
      </c>
      <c r="F197" s="313">
        <f>SUM(F198)</f>
        <v>4873.9188599999761</v>
      </c>
      <c r="G197" s="411">
        <f>SUM(G198)</f>
        <v>0</v>
      </c>
      <c r="K197" s="237"/>
    </row>
    <row r="198" spans="1:11" ht="18" customHeight="1" x14ac:dyDescent="0.25">
      <c r="A198" s="228" t="s">
        <v>312</v>
      </c>
      <c r="B198" s="229" t="s">
        <v>76</v>
      </c>
      <c r="C198" s="22">
        <f>'целевые показатели'!J234</f>
        <v>1518965.3725858587</v>
      </c>
      <c r="D198" s="22">
        <f>'целевые показатели'!J236</f>
        <v>1498901.8</v>
      </c>
      <c r="E198" s="22">
        <v>0</v>
      </c>
      <c r="F198" s="22">
        <f>'целевые показатели'!J237</f>
        <v>4873.9188599999761</v>
      </c>
      <c r="G198" s="231">
        <f>'целевые показатели'!J239</f>
        <v>0</v>
      </c>
      <c r="K198" s="237"/>
    </row>
    <row r="199" spans="1:11" ht="51" customHeight="1" x14ac:dyDescent="0.25">
      <c r="A199" s="410">
        <v>8</v>
      </c>
      <c r="B199" s="398" t="s">
        <v>292</v>
      </c>
      <c r="C199" s="313">
        <f>SUM(C200:C214)</f>
        <v>315873.19284999982</v>
      </c>
      <c r="D199" s="313">
        <f>SUM(D200:D214)</f>
        <v>0</v>
      </c>
      <c r="E199" s="313">
        <f>SUM(E200:E214)</f>
        <v>0</v>
      </c>
      <c r="F199" s="313">
        <f>SUM(F200:F214)</f>
        <v>312714.46092150005</v>
      </c>
      <c r="G199" s="411">
        <f>SUM(G200:G214)</f>
        <v>3158.7319284999985</v>
      </c>
      <c r="J199" s="237"/>
      <c r="K199" s="237"/>
    </row>
    <row r="200" spans="1:11" ht="33" x14ac:dyDescent="0.25">
      <c r="A200" s="228" t="s">
        <v>313</v>
      </c>
      <c r="B200" s="434" t="s">
        <v>370</v>
      </c>
      <c r="C200" s="22">
        <f>'целевые показатели'!J245</f>
        <v>13327.52447</v>
      </c>
      <c r="D200" s="22">
        <v>0</v>
      </c>
      <c r="E200" s="22">
        <v>0</v>
      </c>
      <c r="F200" s="22">
        <f>C200*0.99</f>
        <v>13194.2492253</v>
      </c>
      <c r="G200" s="231">
        <f t="shared" ref="G200:G214" si="0">C200-F200</f>
        <v>133.27524470000026</v>
      </c>
      <c r="J200" s="237"/>
      <c r="K200" s="237"/>
    </row>
    <row r="201" spans="1:11" ht="33" x14ac:dyDescent="0.25">
      <c r="A201" s="228" t="s">
        <v>315</v>
      </c>
      <c r="B201" s="434" t="s">
        <v>432</v>
      </c>
      <c r="C201" s="22">
        <f>'целевые показатели'!J246</f>
        <v>12621.01945</v>
      </c>
      <c r="D201" s="22">
        <v>0</v>
      </c>
      <c r="E201" s="22">
        <v>0</v>
      </c>
      <c r="F201" s="22">
        <f t="shared" ref="F201:F206" si="1">C201*0.99</f>
        <v>12494.8092555</v>
      </c>
      <c r="G201" s="231">
        <f t="shared" si="0"/>
        <v>126.21019449999949</v>
      </c>
      <c r="K201" s="237"/>
    </row>
    <row r="202" spans="1:11" ht="33" x14ac:dyDescent="0.25">
      <c r="A202" s="228" t="s">
        <v>314</v>
      </c>
      <c r="B202" s="434" t="s">
        <v>296</v>
      </c>
      <c r="C202" s="22">
        <f>'целевые показатели'!J247</f>
        <v>19064.628000000001</v>
      </c>
      <c r="D202" s="22">
        <v>0</v>
      </c>
      <c r="E202" s="22">
        <v>0</v>
      </c>
      <c r="F202" s="22">
        <f t="shared" si="1"/>
        <v>18873.98172</v>
      </c>
      <c r="G202" s="231">
        <f t="shared" si="0"/>
        <v>190.64628000000084</v>
      </c>
      <c r="K202" s="237"/>
    </row>
    <row r="203" spans="1:11" ht="33" x14ac:dyDescent="0.25">
      <c r="A203" s="228" t="s">
        <v>316</v>
      </c>
      <c r="B203" s="434" t="s">
        <v>404</v>
      </c>
      <c r="C203" s="22">
        <f>'целевые показатели'!J248</f>
        <v>18412.25491</v>
      </c>
      <c r="D203" s="22">
        <v>0</v>
      </c>
      <c r="E203" s="22">
        <v>0</v>
      </c>
      <c r="F203" s="22">
        <f t="shared" si="1"/>
        <v>18228.132360899999</v>
      </c>
      <c r="G203" s="231">
        <f t="shared" si="0"/>
        <v>184.12254910000047</v>
      </c>
      <c r="K203" s="237"/>
    </row>
    <row r="204" spans="1:11" ht="33" x14ac:dyDescent="0.25">
      <c r="A204" s="228" t="s">
        <v>414</v>
      </c>
      <c r="B204" s="434" t="s">
        <v>295</v>
      </c>
      <c r="C204" s="22">
        <f>'целевые показатели'!J249</f>
        <v>19125.659759999999</v>
      </c>
      <c r="D204" s="22">
        <v>0</v>
      </c>
      <c r="E204" s="22">
        <v>0</v>
      </c>
      <c r="F204" s="22">
        <f t="shared" si="1"/>
        <v>18934.403162399998</v>
      </c>
      <c r="G204" s="231">
        <f t="shared" si="0"/>
        <v>191.25659760000053</v>
      </c>
      <c r="I204" s="238"/>
      <c r="J204" s="342"/>
      <c r="K204" s="237"/>
    </row>
    <row r="205" spans="1:11" ht="49.5" x14ac:dyDescent="0.25">
      <c r="A205" s="228" t="s">
        <v>421</v>
      </c>
      <c r="B205" s="434" t="s">
        <v>423</v>
      </c>
      <c r="C205" s="22">
        <f>'целевые показатели'!J250</f>
        <v>7675.1715299999996</v>
      </c>
      <c r="D205" s="22">
        <v>0</v>
      </c>
      <c r="E205" s="22">
        <v>0</v>
      </c>
      <c r="F205" s="22">
        <f t="shared" si="1"/>
        <v>7598.4198146999997</v>
      </c>
      <c r="G205" s="231">
        <f t="shared" si="0"/>
        <v>76.751715299999887</v>
      </c>
      <c r="K205" s="237"/>
    </row>
    <row r="206" spans="1:11" s="342" customFormat="1" ht="49.5" x14ac:dyDescent="0.25">
      <c r="A206" s="228" t="s">
        <v>434</v>
      </c>
      <c r="B206" s="434" t="s">
        <v>433</v>
      </c>
      <c r="C206" s="22">
        <f>'целевые показатели'!J251</f>
        <v>194813.39166999998</v>
      </c>
      <c r="D206" s="22">
        <v>0</v>
      </c>
      <c r="E206" s="22">
        <v>0</v>
      </c>
      <c r="F206" s="22">
        <f t="shared" si="1"/>
        <v>192865.25775329999</v>
      </c>
      <c r="G206" s="231">
        <f t="shared" si="0"/>
        <v>1948.1339166999969</v>
      </c>
      <c r="H206" s="238"/>
      <c r="I206" s="236"/>
      <c r="J206" s="17"/>
      <c r="K206" s="368"/>
    </row>
    <row r="207" spans="1:11" ht="33" customHeight="1" x14ac:dyDescent="0.25">
      <c r="A207" s="228" t="s">
        <v>435</v>
      </c>
      <c r="B207" s="6" t="str">
        <f>'целевые показатели'!B257</f>
        <v>Капитальный ремонт автомобильных дорог города Орла на улицах частной жилой застройки: ул. Полевая</v>
      </c>
      <c r="C207" s="22">
        <f>'целевые показатели'!J257</f>
        <v>4158.5938800000004</v>
      </c>
      <c r="D207" s="22">
        <v>0</v>
      </c>
      <c r="E207" s="22">
        <v>0</v>
      </c>
      <c r="F207" s="22">
        <f t="shared" ref="F207:F214" si="2">C207*0.99</f>
        <v>4117.0079412000005</v>
      </c>
      <c r="G207" s="231">
        <f t="shared" si="0"/>
        <v>41.585938799999894</v>
      </c>
      <c r="K207" s="237"/>
    </row>
    <row r="208" spans="1:11" ht="31.5" x14ac:dyDescent="0.25">
      <c r="A208" s="228" t="s">
        <v>436</v>
      </c>
      <c r="B208" s="6" t="str">
        <f>'целевые показатели'!B258</f>
        <v>Капитальный ремонт автомобильных дорог города Орла на улицах частной жилой застройки: ул. Высокая</v>
      </c>
      <c r="C208" s="22">
        <f>'целевые показатели'!J258</f>
        <v>4087.7678850000002</v>
      </c>
      <c r="D208" s="22">
        <v>0</v>
      </c>
      <c r="E208" s="22">
        <v>0</v>
      </c>
      <c r="F208" s="22">
        <f t="shared" si="2"/>
        <v>4046.8902061500003</v>
      </c>
      <c r="G208" s="231">
        <f t="shared" si="0"/>
        <v>40.877678849999938</v>
      </c>
      <c r="K208" s="237"/>
    </row>
    <row r="209" spans="1:51" ht="31.5" x14ac:dyDescent="0.25">
      <c r="A209" s="228" t="s">
        <v>452</v>
      </c>
      <c r="B209" s="6" t="str">
        <f>'целевые показатели'!B259</f>
        <v>Капитальный ремонт автомобильных дорог города Орла на улицах частной жилой застройки: ул.Радищева</v>
      </c>
      <c r="C209" s="22">
        <f>'целевые показатели'!J259</f>
        <v>4123.1808849999998</v>
      </c>
      <c r="D209" s="22">
        <v>0</v>
      </c>
      <c r="E209" s="22">
        <v>0</v>
      </c>
      <c r="F209" s="22">
        <f t="shared" si="2"/>
        <v>4081.9490761499997</v>
      </c>
      <c r="G209" s="231">
        <f t="shared" si="0"/>
        <v>41.231808850000107</v>
      </c>
      <c r="K209" s="237"/>
    </row>
    <row r="210" spans="1:51" ht="31.5" x14ac:dyDescent="0.25">
      <c r="A210" s="228" t="s">
        <v>453</v>
      </c>
      <c r="B210" s="6" t="str">
        <f>'целевые показатели'!B260</f>
        <v>Капитальный ремонт автомобильных дорог города Орла на улицах частной жилой застройки: ул.Волжская</v>
      </c>
      <c r="C210" s="22">
        <f>'целевые показатели'!J260</f>
        <v>4123.1808849999998</v>
      </c>
      <c r="D210" s="22">
        <v>0</v>
      </c>
      <c r="E210" s="22">
        <v>0</v>
      </c>
      <c r="F210" s="22">
        <f t="shared" si="2"/>
        <v>4081.9490761499997</v>
      </c>
      <c r="G210" s="231">
        <f t="shared" si="0"/>
        <v>41.231808850000107</v>
      </c>
      <c r="K210" s="237"/>
    </row>
    <row r="211" spans="1:51" ht="31.5" x14ac:dyDescent="0.25">
      <c r="A211" s="228" t="s">
        <v>454</v>
      </c>
      <c r="B211" s="6" t="str">
        <f>'целевые показатели'!B261</f>
        <v>Капитальный ремонт автомобильных дорог города Орла на улицах частной жилой застройки: ул.Гвардейская</v>
      </c>
      <c r="C211" s="22">
        <f>'целевые показатели'!J261</f>
        <v>5575.8852100000004</v>
      </c>
      <c r="D211" s="22">
        <v>0</v>
      </c>
      <c r="E211" s="22">
        <v>0</v>
      </c>
      <c r="F211" s="22">
        <f t="shared" si="2"/>
        <v>5520.1263579000006</v>
      </c>
      <c r="G211" s="231">
        <f t="shared" si="0"/>
        <v>55.758852099999785</v>
      </c>
      <c r="K211" s="237"/>
    </row>
    <row r="212" spans="1:51" ht="31.5" x14ac:dyDescent="0.25">
      <c r="A212" s="228" t="s">
        <v>455</v>
      </c>
      <c r="B212" s="6" t="s">
        <v>699</v>
      </c>
      <c r="C212" s="22">
        <f>'целевые показатели'!J262</f>
        <v>4288.9273149999999</v>
      </c>
      <c r="D212" s="22">
        <v>0</v>
      </c>
      <c r="E212" s="22">
        <v>0</v>
      </c>
      <c r="F212" s="22">
        <f t="shared" si="2"/>
        <v>4246.0380418499999</v>
      </c>
      <c r="G212" s="231">
        <f t="shared" si="0"/>
        <v>42.889273150000008</v>
      </c>
      <c r="K212" s="237"/>
    </row>
    <row r="213" spans="1:51" ht="31.5" x14ac:dyDescent="0.25">
      <c r="A213" s="228" t="s">
        <v>456</v>
      </c>
      <c r="B213" s="6" t="str">
        <f>'целевые показатели'!B398</f>
        <v>разработка проектно-сметной документации и проведение проверки достоверности сметной стоимости</v>
      </c>
      <c r="C213" s="22">
        <f>'целевые показатели'!J398</f>
        <v>4476.0069999999996</v>
      </c>
      <c r="D213" s="22">
        <v>0</v>
      </c>
      <c r="E213" s="22">
        <v>0</v>
      </c>
      <c r="F213" s="22">
        <f t="shared" si="2"/>
        <v>4431.2469299999993</v>
      </c>
      <c r="G213" s="231">
        <f t="shared" si="0"/>
        <v>44.760070000000269</v>
      </c>
      <c r="K213" s="237"/>
    </row>
    <row r="214" spans="1:51" x14ac:dyDescent="0.25">
      <c r="A214" s="228" t="s">
        <v>629</v>
      </c>
      <c r="B214" s="6" t="str">
        <f>'целевые показатели'!B399</f>
        <v>незадействованный остаток</v>
      </c>
      <c r="C214" s="22">
        <f>'целевые показатели'!J399</f>
        <v>0</v>
      </c>
      <c r="D214" s="22">
        <v>0</v>
      </c>
      <c r="E214" s="22">
        <v>0</v>
      </c>
      <c r="F214" s="22">
        <f t="shared" si="2"/>
        <v>0</v>
      </c>
      <c r="G214" s="231">
        <f t="shared" si="0"/>
        <v>0</v>
      </c>
      <c r="K214" s="237"/>
    </row>
    <row r="215" spans="1:51" ht="18" customHeight="1" x14ac:dyDescent="0.25">
      <c r="A215" s="762" t="s">
        <v>19</v>
      </c>
      <c r="B215" s="763"/>
      <c r="C215" s="763"/>
      <c r="D215" s="763"/>
      <c r="E215" s="763"/>
      <c r="F215" s="763"/>
      <c r="G215" s="764"/>
      <c r="I215" s="245"/>
      <c r="K215" s="237"/>
    </row>
    <row r="216" spans="1:51" x14ac:dyDescent="0.25">
      <c r="A216" s="410">
        <v>1</v>
      </c>
      <c r="B216" s="321" t="s">
        <v>44</v>
      </c>
      <c r="C216" s="313">
        <f>SUM(C218:C230)</f>
        <v>1165271.7019897073</v>
      </c>
      <c r="D216" s="313">
        <f>SUM(D218:D230)</f>
        <v>0</v>
      </c>
      <c r="E216" s="313">
        <f>SUM(E218:E230)</f>
        <v>0</v>
      </c>
      <c r="F216" s="313">
        <f>SUM(F218:F230)</f>
        <v>1140280.7248698103</v>
      </c>
      <c r="G216" s="411">
        <f>SUM(G218:G230)</f>
        <v>25160.97711989703</v>
      </c>
      <c r="I216" s="348"/>
      <c r="K216" s="237"/>
    </row>
    <row r="217" spans="1:51" x14ac:dyDescent="0.25">
      <c r="A217" s="228" t="s">
        <v>45</v>
      </c>
      <c r="B217" s="325" t="s">
        <v>22</v>
      </c>
      <c r="C217" s="22">
        <f>SUM(C218:C223)</f>
        <v>707124.64059298998</v>
      </c>
      <c r="D217" s="22">
        <v>0</v>
      </c>
      <c r="E217" s="22">
        <v>0</v>
      </c>
      <c r="F217" s="22">
        <f t="shared" ref="F217:F223" si="3">C217*0.99</f>
        <v>700053.39418706007</v>
      </c>
      <c r="G217" s="231">
        <f>C217-F217</f>
        <v>7071.2464059299091</v>
      </c>
      <c r="H217" s="238"/>
      <c r="I217" s="348"/>
      <c r="K217" s="237"/>
    </row>
    <row r="218" spans="1:51" x14ac:dyDescent="0.25">
      <c r="A218" s="240" t="s">
        <v>170</v>
      </c>
      <c r="B218" s="241" t="s">
        <v>167</v>
      </c>
      <c r="C218" s="242">
        <v>20000</v>
      </c>
      <c r="D218" s="243">
        <v>0</v>
      </c>
      <c r="E218" s="243">
        <v>0</v>
      </c>
      <c r="F218" s="243">
        <f t="shared" si="3"/>
        <v>19800</v>
      </c>
      <c r="G218" s="231">
        <f t="shared" ref="G218:G226" si="4">C218-F218</f>
        <v>200</v>
      </c>
      <c r="I218" s="348"/>
      <c r="K218" s="237"/>
    </row>
    <row r="219" spans="1:51" ht="35.25" customHeight="1" x14ac:dyDescent="0.25">
      <c r="A219" s="240" t="s">
        <v>171</v>
      </c>
      <c r="B219" s="241" t="s">
        <v>679</v>
      </c>
      <c r="C219" s="242">
        <f>18000+35000+842.36053</f>
        <v>53842.360529999998</v>
      </c>
      <c r="D219" s="243">
        <v>0</v>
      </c>
      <c r="E219" s="243">
        <v>0</v>
      </c>
      <c r="F219" s="243">
        <f t="shared" si="3"/>
        <v>53303.9369247</v>
      </c>
      <c r="G219" s="231">
        <f t="shared" si="4"/>
        <v>538.4236052999986</v>
      </c>
      <c r="H219" s="345"/>
      <c r="I219" s="435"/>
      <c r="K219" s="237"/>
    </row>
    <row r="220" spans="1:51" ht="31.5" x14ac:dyDescent="0.25">
      <c r="A220" s="240" t="s">
        <v>172</v>
      </c>
      <c r="B220" s="241" t="s">
        <v>678</v>
      </c>
      <c r="C220" s="242">
        <v>62909.982020000003</v>
      </c>
      <c r="D220" s="243">
        <v>0</v>
      </c>
      <c r="E220" s="243">
        <v>0</v>
      </c>
      <c r="F220" s="243">
        <f t="shared" si="3"/>
        <v>62280.882199800006</v>
      </c>
      <c r="G220" s="231">
        <f t="shared" si="4"/>
        <v>629.09982019999734</v>
      </c>
      <c r="H220" s="345"/>
      <c r="I220" s="435"/>
      <c r="K220" s="237"/>
    </row>
    <row r="221" spans="1:51" ht="31.5" x14ac:dyDescent="0.25">
      <c r="A221" s="240" t="s">
        <v>173</v>
      </c>
      <c r="B221" s="241" t="s">
        <v>168</v>
      </c>
      <c r="C221" s="242">
        <v>4025.1717699999999</v>
      </c>
      <c r="D221" s="243">
        <v>0</v>
      </c>
      <c r="E221" s="243">
        <v>0</v>
      </c>
      <c r="F221" s="243">
        <f t="shared" si="3"/>
        <v>3984.9200523</v>
      </c>
      <c r="G221" s="231">
        <f t="shared" si="4"/>
        <v>40.251717699999972</v>
      </c>
      <c r="I221" s="436"/>
      <c r="K221" s="237"/>
    </row>
    <row r="222" spans="1:51" x14ac:dyDescent="0.25">
      <c r="A222" s="240" t="s">
        <v>384</v>
      </c>
      <c r="B222" s="241" t="s">
        <v>670</v>
      </c>
      <c r="C222" s="242">
        <f>2521.26266+890.69663+1466.20906+879.04481+1189.80931+2008.00235+1571.21468</f>
        <v>10526.2395</v>
      </c>
      <c r="D222" s="243">
        <v>0</v>
      </c>
      <c r="E222" s="243">
        <v>0</v>
      </c>
      <c r="F222" s="243">
        <f t="shared" si="3"/>
        <v>10420.977105</v>
      </c>
      <c r="G222" s="231">
        <f t="shared" si="4"/>
        <v>105.26239499999974</v>
      </c>
      <c r="J222" s="236"/>
      <c r="K222" s="236"/>
      <c r="L222" s="236"/>
      <c r="M222" s="236"/>
    </row>
    <row r="223" spans="1:51" x14ac:dyDescent="0.25">
      <c r="A223" s="240" t="s">
        <v>677</v>
      </c>
      <c r="B223" s="241" t="s">
        <v>169</v>
      </c>
      <c r="C223" s="242">
        <f>'целевые показатели'!K27-C218-C219-C221-C222-C220</f>
        <v>555820.88677298999</v>
      </c>
      <c r="D223" s="243">
        <v>0</v>
      </c>
      <c r="E223" s="243">
        <v>0</v>
      </c>
      <c r="F223" s="243">
        <f t="shared" si="3"/>
        <v>550262.67790526012</v>
      </c>
      <c r="G223" s="231">
        <f t="shared" si="4"/>
        <v>5558.2088677298743</v>
      </c>
      <c r="J223" s="236"/>
      <c r="K223" s="236"/>
      <c r="L223" s="236"/>
      <c r="M223" s="236"/>
    </row>
    <row r="224" spans="1:51" s="170" customFormat="1" x14ac:dyDescent="0.25">
      <c r="A224" s="215" t="s">
        <v>46</v>
      </c>
      <c r="B224" s="214" t="s">
        <v>23</v>
      </c>
      <c r="C224" s="216">
        <f>'целевые показатели'!K28</f>
        <v>198745.199995</v>
      </c>
      <c r="D224" s="172">
        <v>0</v>
      </c>
      <c r="E224" s="172">
        <v>0</v>
      </c>
      <c r="F224" s="172">
        <f t="shared" ref="F224:F233" si="5">C224*0.99</f>
        <v>196757.74799505001</v>
      </c>
      <c r="G224" s="231">
        <f t="shared" si="4"/>
        <v>1987.4519999499898</v>
      </c>
      <c r="H224" s="236"/>
      <c r="I224" s="236"/>
      <c r="J224" s="236"/>
      <c r="K224" s="236"/>
      <c r="L224" s="236"/>
      <c r="M224" s="236"/>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row>
    <row r="225" spans="1:51" s="170" customFormat="1" ht="16.5" x14ac:dyDescent="0.25">
      <c r="A225" s="171" t="s">
        <v>47</v>
      </c>
      <c r="B225" s="217" t="s">
        <v>184</v>
      </c>
      <c r="C225" s="172">
        <f>'целевые показатели'!K29</f>
        <v>116193.90360000001</v>
      </c>
      <c r="D225" s="172">
        <v>0</v>
      </c>
      <c r="E225" s="172">
        <v>0</v>
      </c>
      <c r="F225" s="172">
        <f t="shared" si="5"/>
        <v>115031.96456400001</v>
      </c>
      <c r="G225" s="231">
        <f t="shared" si="4"/>
        <v>1161.9390359999961</v>
      </c>
      <c r="H225" s="236"/>
      <c r="I225" s="236"/>
      <c r="J225" s="236"/>
      <c r="K225" s="236"/>
      <c r="L225" s="236"/>
      <c r="M225" s="236"/>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row>
    <row r="226" spans="1:51" s="170" customFormat="1" ht="31.5" x14ac:dyDescent="0.25">
      <c r="A226" s="171" t="s">
        <v>48</v>
      </c>
      <c r="B226" s="169" t="s">
        <v>24</v>
      </c>
      <c r="C226" s="216">
        <f>22101.0101+12121.21212</f>
        <v>34222.222219999996</v>
      </c>
      <c r="D226" s="172">
        <v>0</v>
      </c>
      <c r="E226" s="172">
        <v>0</v>
      </c>
      <c r="F226" s="172">
        <f>C226*0.99</f>
        <v>33879.999997799998</v>
      </c>
      <c r="G226" s="231">
        <f t="shared" si="4"/>
        <v>342.22222219999821</v>
      </c>
      <c r="H226" s="236"/>
      <c r="I226" s="216"/>
      <c r="J226" s="236"/>
      <c r="K226" s="236"/>
      <c r="L226" s="236"/>
      <c r="M226" s="236"/>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row>
    <row r="227" spans="1:51" x14ac:dyDescent="0.25">
      <c r="A227" s="228" t="s">
        <v>49</v>
      </c>
      <c r="B227" s="18" t="str">
        <f>'целевые показатели'!B31</f>
        <v>обеспечение информационной безопасности объекта КИИ</v>
      </c>
      <c r="C227" s="22">
        <f>'целевые показатели'!K31</f>
        <v>8642.99</v>
      </c>
      <c r="D227" s="22">
        <v>0</v>
      </c>
      <c r="E227" s="22">
        <v>0</v>
      </c>
      <c r="F227" s="22">
        <v>0</v>
      </c>
      <c r="G227" s="328">
        <f>C227-F227</f>
        <v>8642.99</v>
      </c>
      <c r="J227" s="236"/>
      <c r="K227" s="236"/>
      <c r="L227" s="236"/>
      <c r="M227" s="236"/>
    </row>
    <row r="228" spans="1:51" ht="31.5" x14ac:dyDescent="0.25">
      <c r="A228" s="228" t="s">
        <v>155</v>
      </c>
      <c r="B228" s="344" t="s">
        <v>25</v>
      </c>
      <c r="C228" s="22">
        <f>'целевые показатели'!K32</f>
        <v>5050.5050499999998</v>
      </c>
      <c r="D228" s="22">
        <v>0</v>
      </c>
      <c r="E228" s="22">
        <v>0</v>
      </c>
      <c r="F228" s="22">
        <f t="shared" si="5"/>
        <v>4999.9999994999998</v>
      </c>
      <c r="G228" s="231">
        <f t="shared" ref="G228:G233" si="6">C228-F228</f>
        <v>50.505050499999925</v>
      </c>
      <c r="K228" s="237"/>
    </row>
    <row r="229" spans="1:51" ht="16.5" x14ac:dyDescent="0.25">
      <c r="A229" s="228" t="s">
        <v>188</v>
      </c>
      <c r="B229" s="229" t="s">
        <v>154</v>
      </c>
      <c r="C229" s="22">
        <f>'целевые показатели'!K33</f>
        <v>4830</v>
      </c>
      <c r="D229" s="22">
        <v>0</v>
      </c>
      <c r="E229" s="22">
        <v>0</v>
      </c>
      <c r="F229" s="22">
        <v>0</v>
      </c>
      <c r="G229" s="231">
        <v>5000</v>
      </c>
      <c r="K229" s="237"/>
    </row>
    <row r="230" spans="1:51" ht="16.5" x14ac:dyDescent="0.25">
      <c r="A230" s="228" t="s">
        <v>666</v>
      </c>
      <c r="B230" s="229" t="str">
        <f>'целевые показатели'!B34</f>
        <v>кредиторская задолженность предыдущих лет</v>
      </c>
      <c r="C230" s="22">
        <f>'целевые показатели'!K34</f>
        <v>90462.240531717165</v>
      </c>
      <c r="D230" s="22">
        <v>0</v>
      </c>
      <c r="E230" s="22">
        <v>0</v>
      </c>
      <c r="F230" s="22">
        <f t="shared" si="5"/>
        <v>89557.61812639999</v>
      </c>
      <c r="G230" s="231">
        <f>C230-F230</f>
        <v>904.62240531717543</v>
      </c>
      <c r="I230" s="639"/>
      <c r="K230" s="237"/>
    </row>
    <row r="231" spans="1:51" ht="49.5" x14ac:dyDescent="0.25">
      <c r="A231" s="410">
        <v>2</v>
      </c>
      <c r="B231" s="398" t="s">
        <v>15</v>
      </c>
      <c r="C231" s="641">
        <f>SUM(C232:C247)</f>
        <v>209656.98059999998</v>
      </c>
      <c r="D231" s="641">
        <f>SUM(D232:D247)</f>
        <v>0</v>
      </c>
      <c r="E231" s="641">
        <f>SUM(E232:E247)</f>
        <v>0</v>
      </c>
      <c r="F231" s="641">
        <f>SUM(F232:F247)</f>
        <v>133860.85079399997</v>
      </c>
      <c r="G231" s="642">
        <f>SUM(G232:G247)</f>
        <v>75796.129805999997</v>
      </c>
      <c r="H231" s="232"/>
      <c r="I231" s="498"/>
      <c r="J231" s="237"/>
      <c r="K231" s="237"/>
    </row>
    <row r="232" spans="1:51" s="233" customFormat="1" ht="16.5" hidden="1" x14ac:dyDescent="0.25">
      <c r="A232" s="228"/>
      <c r="B232" s="229" t="str">
        <f>'целевые показатели'!B58</f>
        <v>проезд вдоль дома № 52 по ул. Роза Люксембург</v>
      </c>
      <c r="C232" s="230">
        <f>'целевые показатели'!K58</f>
        <v>0</v>
      </c>
      <c r="D232" s="230">
        <v>0</v>
      </c>
      <c r="E232" s="230">
        <v>0</v>
      </c>
      <c r="F232" s="22">
        <f t="shared" si="5"/>
        <v>0</v>
      </c>
      <c r="G232" s="231">
        <f t="shared" si="6"/>
        <v>0</v>
      </c>
      <c r="H232" s="232"/>
      <c r="I232" s="232"/>
      <c r="K232" s="234"/>
    </row>
    <row r="233" spans="1:51" s="233" customFormat="1" ht="16.5" hidden="1" x14ac:dyDescent="0.25">
      <c r="A233" s="228"/>
      <c r="B233" s="229" t="str">
        <f>'целевые показатели'!B59</f>
        <v>проезд по ул. Нормандия Неман д.№ 101</v>
      </c>
      <c r="C233" s="230">
        <f>'целевые показатели'!K59</f>
        <v>0</v>
      </c>
      <c r="D233" s="230">
        <v>0</v>
      </c>
      <c r="E233" s="230">
        <v>0</v>
      </c>
      <c r="F233" s="22">
        <f t="shared" si="5"/>
        <v>0</v>
      </c>
      <c r="G233" s="231">
        <f t="shared" si="6"/>
        <v>0</v>
      </c>
      <c r="H233" s="232"/>
      <c r="I233" s="232"/>
      <c r="K233" s="234"/>
    </row>
    <row r="234" spans="1:51" s="233" customFormat="1" ht="33" x14ac:dyDescent="0.25">
      <c r="A234" s="520" t="s">
        <v>157</v>
      </c>
      <c r="B234" s="521" t="s">
        <v>681</v>
      </c>
      <c r="C234" s="633">
        <v>21956.693869999999</v>
      </c>
      <c r="D234" s="230">
        <v>0</v>
      </c>
      <c r="E234" s="230">
        <v>0</v>
      </c>
      <c r="F234" s="22">
        <f>C234*0.99</f>
        <v>21737.126931299998</v>
      </c>
      <c r="G234" s="231">
        <f>C234-F234</f>
        <v>219.56693870000163</v>
      </c>
      <c r="H234" s="232"/>
      <c r="I234" s="232"/>
      <c r="J234" s="237"/>
      <c r="K234" s="234"/>
    </row>
    <row r="235" spans="1:51" s="233" customFormat="1" ht="16.5" x14ac:dyDescent="0.25">
      <c r="A235" s="524" t="s">
        <v>158</v>
      </c>
      <c r="B235" s="525" t="s">
        <v>682</v>
      </c>
      <c r="C235" s="638">
        <v>4144.8359099999998</v>
      </c>
      <c r="D235" s="230">
        <v>0</v>
      </c>
      <c r="E235" s="230">
        <v>0</v>
      </c>
      <c r="F235" s="22">
        <f t="shared" ref="F235:F246" si="7">C235*0.99</f>
        <v>4103.3875509</v>
      </c>
      <c r="G235" s="231">
        <f t="shared" ref="G235:G242" si="8">C235-F235</f>
        <v>41.448359099999834</v>
      </c>
      <c r="H235" s="526"/>
      <c r="I235" s="232"/>
      <c r="K235" s="234"/>
    </row>
    <row r="236" spans="1:51" s="233" customFormat="1" ht="16.5" x14ac:dyDescent="0.25">
      <c r="A236" s="524" t="s">
        <v>159</v>
      </c>
      <c r="B236" s="525" t="s">
        <v>683</v>
      </c>
      <c r="C236" s="638">
        <v>10589.70054</v>
      </c>
      <c r="D236" s="230">
        <v>0</v>
      </c>
      <c r="E236" s="230">
        <v>0</v>
      </c>
      <c r="F236" s="22">
        <f t="shared" si="7"/>
        <v>10483.8035346</v>
      </c>
      <c r="G236" s="231">
        <f t="shared" si="8"/>
        <v>105.89700540000013</v>
      </c>
      <c r="H236" s="232"/>
      <c r="I236" s="232"/>
      <c r="K236" s="234"/>
    </row>
    <row r="237" spans="1:51" s="233" customFormat="1" ht="16.5" x14ac:dyDescent="0.25">
      <c r="A237" s="524" t="s">
        <v>160</v>
      </c>
      <c r="B237" s="525" t="s">
        <v>684</v>
      </c>
      <c r="C237" s="638">
        <f>5671.32001+600</f>
        <v>6271.3200100000004</v>
      </c>
      <c r="D237" s="230">
        <v>0</v>
      </c>
      <c r="E237" s="230">
        <v>0</v>
      </c>
      <c r="F237" s="22">
        <f t="shared" si="7"/>
        <v>6208.6068099000004</v>
      </c>
      <c r="G237" s="231">
        <f t="shared" si="8"/>
        <v>62.713200099999995</v>
      </c>
      <c r="H237" s="232"/>
      <c r="I237" s="232"/>
      <c r="K237" s="234"/>
    </row>
    <row r="238" spans="1:51" s="233" customFormat="1" ht="33" x14ac:dyDescent="0.25">
      <c r="A238" s="524" t="s">
        <v>437</v>
      </c>
      <c r="B238" s="217" t="s">
        <v>866</v>
      </c>
      <c r="C238" s="633">
        <v>43794.687839999999</v>
      </c>
      <c r="D238" s="230">
        <v>0</v>
      </c>
      <c r="E238" s="230">
        <v>0</v>
      </c>
      <c r="F238" s="22">
        <f t="shared" si="7"/>
        <v>43356.7409616</v>
      </c>
      <c r="G238" s="231">
        <f t="shared" si="8"/>
        <v>437.94687839999824</v>
      </c>
      <c r="H238" s="232"/>
      <c r="I238" s="232"/>
      <c r="K238" s="234"/>
    </row>
    <row r="239" spans="1:51" s="233" customFormat="1" ht="16.5" x14ac:dyDescent="0.25">
      <c r="A239" s="524" t="s">
        <v>161</v>
      </c>
      <c r="B239" s="217" t="s">
        <v>792</v>
      </c>
      <c r="C239" s="633">
        <v>14365.5</v>
      </c>
      <c r="D239" s="230">
        <v>0</v>
      </c>
      <c r="E239" s="230">
        <v>0</v>
      </c>
      <c r="F239" s="22">
        <f t="shared" si="7"/>
        <v>14221.844999999999</v>
      </c>
      <c r="G239" s="231">
        <f t="shared" si="8"/>
        <v>143.65500000000065</v>
      </c>
      <c r="H239" s="232"/>
      <c r="I239" s="232"/>
      <c r="K239" s="234"/>
    </row>
    <row r="240" spans="1:51" s="233" customFormat="1" ht="51.75" customHeight="1" x14ac:dyDescent="0.25">
      <c r="A240" s="524" t="s">
        <v>162</v>
      </c>
      <c r="B240" s="217" t="s">
        <v>674</v>
      </c>
      <c r="C240" s="633">
        <v>3846.40022</v>
      </c>
      <c r="D240" s="230">
        <v>0</v>
      </c>
      <c r="E240" s="230">
        <v>0</v>
      </c>
      <c r="F240" s="22">
        <f t="shared" si="7"/>
        <v>3807.9362178000001</v>
      </c>
      <c r="G240" s="231">
        <f t="shared" si="8"/>
        <v>38.464002199999868</v>
      </c>
      <c r="H240" s="232"/>
      <c r="I240" s="232"/>
      <c r="K240" s="234"/>
    </row>
    <row r="241" spans="1:11" s="233" customFormat="1" ht="33" x14ac:dyDescent="0.25">
      <c r="A241" s="524" t="s">
        <v>163</v>
      </c>
      <c r="B241" s="217" t="s">
        <v>685</v>
      </c>
      <c r="C241" s="633">
        <v>4110.3212299999996</v>
      </c>
      <c r="D241" s="230">
        <v>0</v>
      </c>
      <c r="E241" s="230">
        <v>0</v>
      </c>
      <c r="F241" s="22">
        <f t="shared" si="7"/>
        <v>4069.2180176999996</v>
      </c>
      <c r="G241" s="231">
        <f t="shared" si="8"/>
        <v>41.103212299999996</v>
      </c>
      <c r="H241" s="232"/>
      <c r="I241" s="172"/>
      <c r="K241" s="234"/>
    </row>
    <row r="242" spans="1:11" s="233" customFormat="1" ht="33" x14ac:dyDescent="0.25">
      <c r="A242" s="524" t="s">
        <v>164</v>
      </c>
      <c r="B242" s="217" t="s">
        <v>675</v>
      </c>
      <c r="C242" s="633">
        <v>3285.8916300000001</v>
      </c>
      <c r="D242" s="230">
        <v>0</v>
      </c>
      <c r="E242" s="230">
        <v>0</v>
      </c>
      <c r="F242" s="22">
        <f t="shared" si="7"/>
        <v>3253.0327136999999</v>
      </c>
      <c r="G242" s="231">
        <f t="shared" si="8"/>
        <v>32.858916300000146</v>
      </c>
      <c r="H242" s="232"/>
      <c r="I242" s="232"/>
      <c r="K242" s="234"/>
    </row>
    <row r="243" spans="1:11" s="233" customFormat="1" ht="33" x14ac:dyDescent="0.25">
      <c r="A243" s="524" t="s">
        <v>422</v>
      </c>
      <c r="B243" s="491" t="s">
        <v>687</v>
      </c>
      <c r="C243" s="637">
        <v>22847.629349999999</v>
      </c>
      <c r="D243" s="230">
        <v>0</v>
      </c>
      <c r="E243" s="230">
        <v>0</v>
      </c>
      <c r="F243" s="22">
        <f t="shared" ref="F243" si="9">C243*0.99</f>
        <v>22619.153056499999</v>
      </c>
      <c r="G243" s="231">
        <f t="shared" ref="G243:G247" si="10">C243-F243</f>
        <v>228.47629349999988</v>
      </c>
      <c r="H243" s="232"/>
      <c r="I243" s="232"/>
      <c r="K243" s="234"/>
    </row>
    <row r="244" spans="1:11" s="233" customFormat="1" ht="21.75" customHeight="1" x14ac:dyDescent="0.25">
      <c r="A244" s="627" t="s">
        <v>446</v>
      </c>
      <c r="B244" s="628" t="s">
        <v>861</v>
      </c>
      <c r="C244" s="636">
        <v>55700</v>
      </c>
      <c r="D244" s="634">
        <v>0</v>
      </c>
      <c r="E244" s="634">
        <v>0</v>
      </c>
      <c r="F244" s="172">
        <v>0</v>
      </c>
      <c r="G244" s="635">
        <f t="shared" si="10"/>
        <v>55700</v>
      </c>
      <c r="H244" s="232"/>
      <c r="I244" s="232"/>
      <c r="K244" s="234"/>
    </row>
    <row r="245" spans="1:11" s="233" customFormat="1" ht="33" x14ac:dyDescent="0.25">
      <c r="A245" s="627" t="s">
        <v>447</v>
      </c>
      <c r="B245" s="628" t="s">
        <v>790</v>
      </c>
      <c r="C245" s="637">
        <v>15300</v>
      </c>
      <c r="D245" s="230">
        <v>0</v>
      </c>
      <c r="E245" s="230">
        <v>0</v>
      </c>
      <c r="F245" s="172">
        <v>0</v>
      </c>
      <c r="G245" s="231">
        <f>C245-F245</f>
        <v>15300</v>
      </c>
      <c r="H245" s="640"/>
      <c r="I245" s="232"/>
      <c r="K245" s="234"/>
    </row>
    <row r="246" spans="1:11" s="233" customFormat="1" ht="16.5" x14ac:dyDescent="0.25">
      <c r="A246" s="522" t="s">
        <v>448</v>
      </c>
      <c r="B246" s="523" t="s">
        <v>26</v>
      </c>
      <c r="C246" s="22">
        <v>0</v>
      </c>
      <c r="D246" s="22">
        <v>0</v>
      </c>
      <c r="E246" s="22">
        <v>0</v>
      </c>
      <c r="F246" s="22">
        <f t="shared" si="7"/>
        <v>0</v>
      </c>
      <c r="G246" s="235">
        <f t="shared" si="10"/>
        <v>0</v>
      </c>
      <c r="H246" s="232"/>
      <c r="I246" s="232"/>
      <c r="K246" s="234"/>
    </row>
    <row r="247" spans="1:11" s="233" customFormat="1" ht="33.75" customHeight="1" x14ac:dyDescent="0.25">
      <c r="A247" s="228" t="s">
        <v>449</v>
      </c>
      <c r="B247" s="229" t="s">
        <v>27</v>
      </c>
      <c r="C247" s="22">
        <f>'целевые показатели'!K131</f>
        <v>3444</v>
      </c>
      <c r="D247" s="22">
        <v>0</v>
      </c>
      <c r="E247" s="22">
        <v>0</v>
      </c>
      <c r="F247" s="22">
        <v>0</v>
      </c>
      <c r="G247" s="235">
        <f t="shared" si="10"/>
        <v>3444</v>
      </c>
      <c r="H247" s="232"/>
      <c r="I247" s="232"/>
      <c r="J247" s="234"/>
      <c r="K247" s="234"/>
    </row>
    <row r="248" spans="1:11" ht="94.5" x14ac:dyDescent="0.25">
      <c r="A248" s="410">
        <v>3</v>
      </c>
      <c r="B248" s="321" t="s">
        <v>426</v>
      </c>
      <c r="C248" s="643">
        <f>SUM(C249:C257)</f>
        <v>205348.21998034342</v>
      </c>
      <c r="D248" s="643">
        <f>SUM(D249:D257)</f>
        <v>0</v>
      </c>
      <c r="E248" s="643">
        <f>SUM(E249:E257)</f>
        <v>0</v>
      </c>
      <c r="F248" s="643">
        <f>SUM(F249:F257)</f>
        <v>203068.57452804002</v>
      </c>
      <c r="G248" s="644">
        <f>SUM(G249:G257)</f>
        <v>2279.6454523034313</v>
      </c>
      <c r="I248" s="238"/>
      <c r="J248" s="341"/>
      <c r="K248" s="237"/>
    </row>
    <row r="249" spans="1:11" ht="66" x14ac:dyDescent="0.25">
      <c r="A249" s="228" t="s">
        <v>68</v>
      </c>
      <c r="B249" s="275" t="str">
        <f>'целевые показатели'!B148</f>
        <v>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v>
      </c>
      <c r="C249" s="22">
        <v>66985.179596000002</v>
      </c>
      <c r="D249" s="22">
        <v>0</v>
      </c>
      <c r="E249" s="22">
        <v>0</v>
      </c>
      <c r="F249" s="22">
        <f t="shared" ref="F249:F256" si="11">C249*0.99</f>
        <v>66315.327800040002</v>
      </c>
      <c r="G249" s="328">
        <f t="shared" ref="G249:G261" si="12">C249-F249</f>
        <v>669.85179595999944</v>
      </c>
      <c r="J249" s="86"/>
      <c r="K249" s="237"/>
    </row>
    <row r="250" spans="1:11" ht="16.5" x14ac:dyDescent="0.25">
      <c r="A250" s="228" t="s">
        <v>69</v>
      </c>
      <c r="B250" s="217" t="s">
        <v>785</v>
      </c>
      <c r="C250" s="633">
        <f>16313.99664+6.06059</f>
        <v>16320.057229999999</v>
      </c>
      <c r="D250" s="230">
        <v>0</v>
      </c>
      <c r="E250" s="230">
        <v>0</v>
      </c>
      <c r="F250" s="22">
        <f>C250*0.99+0.00001</f>
        <v>16156.856667699998</v>
      </c>
      <c r="G250" s="231">
        <f t="shared" ref="G250:G255" si="13">C250-F250</f>
        <v>163.20056230000046</v>
      </c>
      <c r="K250" s="237"/>
    </row>
    <row r="251" spans="1:11" ht="16.5" x14ac:dyDescent="0.25">
      <c r="A251" s="228" t="s">
        <v>70</v>
      </c>
      <c r="B251" s="217" t="s">
        <v>795</v>
      </c>
      <c r="C251" s="633">
        <v>5361.1369599999998</v>
      </c>
      <c r="D251" s="230">
        <v>0</v>
      </c>
      <c r="E251" s="230">
        <v>0</v>
      </c>
      <c r="F251" s="22">
        <f>C251*0.99+0.00001</f>
        <v>5307.5256003999993</v>
      </c>
      <c r="G251" s="231">
        <f t="shared" si="13"/>
        <v>53.611359600000469</v>
      </c>
      <c r="K251" s="237"/>
    </row>
    <row r="252" spans="1:11" ht="33" x14ac:dyDescent="0.25">
      <c r="A252" s="437" t="s">
        <v>71</v>
      </c>
      <c r="B252" s="217" t="s">
        <v>786</v>
      </c>
      <c r="C252" s="633">
        <v>1933.23164</v>
      </c>
      <c r="D252" s="230">
        <v>0</v>
      </c>
      <c r="E252" s="230">
        <v>0</v>
      </c>
      <c r="F252" s="22">
        <f t="shared" si="11"/>
        <v>1913.8993235999999</v>
      </c>
      <c r="G252" s="231">
        <f t="shared" si="13"/>
        <v>19.332316400000082</v>
      </c>
      <c r="K252" s="237"/>
    </row>
    <row r="253" spans="1:11" ht="33" x14ac:dyDescent="0.25">
      <c r="A253" s="228" t="s">
        <v>72</v>
      </c>
      <c r="B253" s="217" t="s">
        <v>787</v>
      </c>
      <c r="C253" s="633">
        <v>8655.0218600000007</v>
      </c>
      <c r="D253" s="230">
        <v>0</v>
      </c>
      <c r="E253" s="230">
        <v>0</v>
      </c>
      <c r="F253" s="22">
        <f t="shared" si="11"/>
        <v>8568.4716414000013</v>
      </c>
      <c r="G253" s="231">
        <f t="shared" si="13"/>
        <v>86.550218599999425</v>
      </c>
      <c r="K253" s="237"/>
    </row>
    <row r="254" spans="1:11" ht="99" x14ac:dyDescent="0.25">
      <c r="A254" s="228" t="s">
        <v>486</v>
      </c>
      <c r="B254" s="217" t="s">
        <v>794</v>
      </c>
      <c r="C254" s="22">
        <v>102069.92543434343</v>
      </c>
      <c r="D254" s="230">
        <v>0</v>
      </c>
      <c r="E254" s="230">
        <v>0</v>
      </c>
      <c r="F254" s="22">
        <f t="shared" si="11"/>
        <v>101049.22618</v>
      </c>
      <c r="G254" s="231">
        <f t="shared" si="13"/>
        <v>1020.6992543434317</v>
      </c>
      <c r="K254" s="237"/>
    </row>
    <row r="255" spans="1:11" ht="16.5" x14ac:dyDescent="0.25">
      <c r="A255" s="228" t="s">
        <v>487</v>
      </c>
      <c r="B255" s="217" t="s">
        <v>788</v>
      </c>
      <c r="C255" s="633">
        <f>3195.21951+600</f>
        <v>3795.2195099999999</v>
      </c>
      <c r="D255" s="230">
        <v>0</v>
      </c>
      <c r="E255" s="230">
        <v>0</v>
      </c>
      <c r="F255" s="22">
        <f t="shared" si="11"/>
        <v>3757.2673148999997</v>
      </c>
      <c r="G255" s="231">
        <f t="shared" si="13"/>
        <v>37.952195100000154</v>
      </c>
      <c r="K255" s="237"/>
    </row>
    <row r="256" spans="1:11" ht="16.5" x14ac:dyDescent="0.25">
      <c r="A256" s="228" t="s">
        <v>781</v>
      </c>
      <c r="B256" s="275" t="s">
        <v>26</v>
      </c>
      <c r="C256" s="22">
        <v>0</v>
      </c>
      <c r="D256" s="22">
        <v>0</v>
      </c>
      <c r="E256" s="22">
        <v>0</v>
      </c>
      <c r="F256" s="22">
        <f t="shared" si="11"/>
        <v>0</v>
      </c>
      <c r="G256" s="328">
        <f t="shared" si="12"/>
        <v>0</v>
      </c>
      <c r="I256" s="438"/>
      <c r="J256" s="401"/>
      <c r="K256" s="237"/>
    </row>
    <row r="257" spans="1:15" ht="33" x14ac:dyDescent="0.25">
      <c r="A257" s="228" t="s">
        <v>796</v>
      </c>
      <c r="B257" s="229" t="s">
        <v>27</v>
      </c>
      <c r="C257" s="22">
        <v>228.44775000000001</v>
      </c>
      <c r="D257" s="22">
        <v>0</v>
      </c>
      <c r="E257" s="22">
        <v>0</v>
      </c>
      <c r="F257" s="22">
        <v>0</v>
      </c>
      <c r="G257" s="328">
        <f>C257-F257</f>
        <v>228.44775000000001</v>
      </c>
      <c r="H257" s="238"/>
      <c r="K257" s="237"/>
    </row>
    <row r="258" spans="1:15" s="401" customFormat="1" ht="49.5" x14ac:dyDescent="0.25">
      <c r="A258" s="439">
        <v>4</v>
      </c>
      <c r="B258" s="398" t="s">
        <v>13</v>
      </c>
      <c r="C258" s="313">
        <f>SUM(C259:C261)</f>
        <v>1300</v>
      </c>
      <c r="D258" s="313">
        <f>SUM(D259:D261)</f>
        <v>0</v>
      </c>
      <c r="E258" s="313">
        <f>SUM(E259:E261)</f>
        <v>0</v>
      </c>
      <c r="F258" s="313">
        <f>SUM(F259:F261)</f>
        <v>0</v>
      </c>
      <c r="G258" s="495">
        <f>SUM(G259:G261)</f>
        <v>1300</v>
      </c>
      <c r="H258" s="440"/>
      <c r="I258" s="236"/>
      <c r="J258" s="17"/>
      <c r="K258" s="441"/>
    </row>
    <row r="259" spans="1:15" ht="33" x14ac:dyDescent="0.25">
      <c r="A259" s="228" t="s">
        <v>380</v>
      </c>
      <c r="B259" s="229" t="s">
        <v>146</v>
      </c>
      <c r="C259" s="22">
        <f>'целевые показатели'!K172</f>
        <v>451</v>
      </c>
      <c r="D259" s="22">
        <v>0</v>
      </c>
      <c r="E259" s="22">
        <v>0</v>
      </c>
      <c r="F259" s="22">
        <v>0</v>
      </c>
      <c r="G259" s="328">
        <f t="shared" si="12"/>
        <v>451</v>
      </c>
      <c r="H259" s="238"/>
      <c r="K259" s="237"/>
    </row>
    <row r="260" spans="1:15" ht="33" x14ac:dyDescent="0.25">
      <c r="A260" s="228" t="s">
        <v>415</v>
      </c>
      <c r="B260" s="229" t="s">
        <v>147</v>
      </c>
      <c r="C260" s="22">
        <f>'целевые показатели'!K173</f>
        <v>0</v>
      </c>
      <c r="D260" s="22">
        <v>0</v>
      </c>
      <c r="E260" s="22">
        <v>0</v>
      </c>
      <c r="F260" s="22">
        <v>0</v>
      </c>
      <c r="G260" s="328">
        <f t="shared" si="12"/>
        <v>0</v>
      </c>
      <c r="H260" s="238"/>
      <c r="K260" s="237"/>
    </row>
    <row r="261" spans="1:15" ht="16.5" x14ac:dyDescent="0.25">
      <c r="A261" s="228" t="s">
        <v>416</v>
      </c>
      <c r="B261" s="229" t="s">
        <v>319</v>
      </c>
      <c r="C261" s="22">
        <f>'целевые показатели'!K195</f>
        <v>849</v>
      </c>
      <c r="D261" s="22">
        <v>0</v>
      </c>
      <c r="E261" s="22">
        <v>0</v>
      </c>
      <c r="F261" s="22">
        <v>0</v>
      </c>
      <c r="G261" s="328">
        <f t="shared" si="12"/>
        <v>849</v>
      </c>
      <c r="H261" s="238"/>
      <c r="K261" s="237"/>
    </row>
    <row r="262" spans="1:15" ht="110.25" x14ac:dyDescent="0.25">
      <c r="A262" s="410">
        <v>5</v>
      </c>
      <c r="B262" s="394" t="s">
        <v>427</v>
      </c>
      <c r="C262" s="313">
        <f>SUM(D262:G262)</f>
        <v>27015.85859</v>
      </c>
      <c r="D262" s="313">
        <f>'целевые показатели'!K209</f>
        <v>26478.2</v>
      </c>
      <c r="E262" s="313">
        <v>0</v>
      </c>
      <c r="F262" s="313">
        <f>'целевые показатели'!K210</f>
        <v>267.5</v>
      </c>
      <c r="G262" s="495">
        <f>'целевые показатели'!K211</f>
        <v>270.15859</v>
      </c>
      <c r="H262" s="238"/>
      <c r="K262" s="237"/>
    </row>
    <row r="263" spans="1:15" ht="60" customHeight="1" x14ac:dyDescent="0.25">
      <c r="A263" s="410">
        <v>6</v>
      </c>
      <c r="B263" s="394" t="s">
        <v>11</v>
      </c>
      <c r="C263" s="313">
        <f>SUM(C264)</f>
        <v>600</v>
      </c>
      <c r="D263" s="313">
        <f>SUM(D264)</f>
        <v>0</v>
      </c>
      <c r="E263" s="313">
        <f>SUM(E264)</f>
        <v>0</v>
      </c>
      <c r="F263" s="313">
        <f>SUM(F264)</f>
        <v>0</v>
      </c>
      <c r="G263" s="411">
        <f>SUM(G264)</f>
        <v>600</v>
      </c>
      <c r="H263" s="238"/>
      <c r="K263" s="237"/>
    </row>
    <row r="264" spans="1:15" ht="66" x14ac:dyDescent="0.25">
      <c r="A264" s="442" t="s">
        <v>186</v>
      </c>
      <c r="B264" s="631" t="s">
        <v>293</v>
      </c>
      <c r="C264" s="22">
        <f>D264+E264+F264+G264</f>
        <v>600</v>
      </c>
      <c r="D264" s="22">
        <v>0</v>
      </c>
      <c r="E264" s="22">
        <v>0</v>
      </c>
      <c r="F264" s="22">
        <v>0</v>
      </c>
      <c r="G264" s="239">
        <v>600</v>
      </c>
      <c r="H264" s="238"/>
      <c r="K264" s="237"/>
    </row>
    <row r="265" spans="1:15" x14ac:dyDescent="0.25">
      <c r="A265" s="410">
        <v>7</v>
      </c>
      <c r="B265" s="394" t="str">
        <f>'целевые показатели'!B233</f>
        <v>Строительство объектов УДС города Орла</v>
      </c>
      <c r="C265" s="313">
        <f>SUM(C266)</f>
        <v>170.17606000000001</v>
      </c>
      <c r="D265" s="313">
        <f>SUM(D266)</f>
        <v>0</v>
      </c>
      <c r="E265" s="313">
        <f>SUM(E266)</f>
        <v>0</v>
      </c>
      <c r="F265" s="313">
        <f>SUM(F266)</f>
        <v>0</v>
      </c>
      <c r="G265" s="411">
        <f>SUM(G266)</f>
        <v>170.17606000000001</v>
      </c>
      <c r="H265" s="238"/>
      <c r="K265" s="237"/>
    </row>
    <row r="266" spans="1:15" s="443" customFormat="1" x14ac:dyDescent="0.25">
      <c r="A266" s="442" t="s">
        <v>312</v>
      </c>
      <c r="B266" s="344" t="str">
        <f>'целевые показатели'!B234</f>
        <v>Реконструкция "Красного моста" в г.Орле</v>
      </c>
      <c r="C266" s="22">
        <f>'целевые показатели'!K234</f>
        <v>170.17606000000001</v>
      </c>
      <c r="D266" s="22">
        <v>0</v>
      </c>
      <c r="E266" s="22">
        <v>0</v>
      </c>
      <c r="F266" s="22">
        <v>0</v>
      </c>
      <c r="G266" s="239">
        <v>170.17606000000001</v>
      </c>
      <c r="H266" s="238"/>
      <c r="I266" s="232"/>
      <c r="K266" s="444"/>
    </row>
    <row r="267" spans="1:15" ht="33" x14ac:dyDescent="0.25">
      <c r="A267" s="410">
        <v>8</v>
      </c>
      <c r="B267" s="398" t="s">
        <v>292</v>
      </c>
      <c r="C267" s="643">
        <f>SUM(C268:C332)</f>
        <v>384128.0573607306</v>
      </c>
      <c r="D267" s="643">
        <f>SUM(D268:D332)</f>
        <v>0</v>
      </c>
      <c r="E267" s="643">
        <f>SUM(E268:E332)</f>
        <v>0</v>
      </c>
      <c r="F267" s="643">
        <f>SUM(F268:F332)-0.00001</f>
        <v>342473.96585192287</v>
      </c>
      <c r="G267" s="644">
        <f>SUM(G268:G332)</f>
        <v>41654.09149880732</v>
      </c>
      <c r="H267" s="238"/>
      <c r="J267" s="236"/>
      <c r="K267" s="237"/>
      <c r="N267" s="17">
        <v>300</v>
      </c>
      <c r="O267" s="17">
        <v>300</v>
      </c>
    </row>
    <row r="268" spans="1:15" s="247" customFormat="1" ht="99.75" customHeight="1" x14ac:dyDescent="0.25">
      <c r="A268" s="645" t="s">
        <v>714</v>
      </c>
      <c r="B268" s="491" t="str">
        <f>'целевые показатели'!B253</f>
        <v>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v>
      </c>
      <c r="C268" s="632">
        <f>58829.6279730303+11049.50411-21925.42808</f>
        <v>47953.704003030303</v>
      </c>
      <c r="D268" s="22">
        <v>0</v>
      </c>
      <c r="E268" s="22">
        <v>0</v>
      </c>
      <c r="F268" s="22">
        <f t="shared" ref="F268:F331" si="14">C268*0.99</f>
        <v>47474.166963000003</v>
      </c>
      <c r="G268" s="231">
        <f t="shared" ref="G268:G332" si="15">C268-F268</f>
        <v>479.53704003029998</v>
      </c>
      <c r="H268" s="232"/>
      <c r="I268" s="22"/>
      <c r="J268" s="246"/>
      <c r="K268" s="246"/>
      <c r="L268" s="487"/>
      <c r="M268" s="447"/>
    </row>
    <row r="269" spans="1:15" s="247" customFormat="1" ht="82.5" x14ac:dyDescent="0.25">
      <c r="A269" s="645" t="s">
        <v>715</v>
      </c>
      <c r="B269" s="628" t="s">
        <v>791</v>
      </c>
      <c r="C269" s="636">
        <f>69440/2</f>
        <v>34720</v>
      </c>
      <c r="D269" s="634">
        <v>0</v>
      </c>
      <c r="E269" s="634">
        <v>0</v>
      </c>
      <c r="F269" s="172">
        <v>0</v>
      </c>
      <c r="G269" s="635">
        <f t="shared" si="15"/>
        <v>34720</v>
      </c>
      <c r="H269" s="232"/>
      <c r="I269" s="630"/>
      <c r="J269" s="246"/>
      <c r="K269" s="246"/>
      <c r="L269" s="487"/>
      <c r="M269" s="447"/>
    </row>
    <row r="270" spans="1:15" s="247" customFormat="1" ht="33" x14ac:dyDescent="0.25">
      <c r="A270" s="645" t="s">
        <v>716</v>
      </c>
      <c r="B270" s="500" t="str">
        <f>'целевые показатели'!B257</f>
        <v>Капитальный ремонт автомобильных дорог города Орла на улицах частной жилой застройки: ул. Полевая</v>
      </c>
      <c r="C270" s="501">
        <f>8317.18777/2</f>
        <v>4158.5938850000002</v>
      </c>
      <c r="D270" s="501">
        <v>0</v>
      </c>
      <c r="E270" s="501">
        <v>0</v>
      </c>
      <c r="F270" s="501">
        <f t="shared" si="14"/>
        <v>4117.00794615</v>
      </c>
      <c r="G270" s="502">
        <f t="shared" si="15"/>
        <v>41.585938850000275</v>
      </c>
      <c r="H270" s="232"/>
      <c r="I270" s="232"/>
      <c r="J270" s="246"/>
      <c r="K270" s="246"/>
      <c r="L270" s="487"/>
      <c r="M270" s="447"/>
    </row>
    <row r="271" spans="1:15" s="247" customFormat="1" ht="33" x14ac:dyDescent="0.25">
      <c r="A271" s="645" t="s">
        <v>717</v>
      </c>
      <c r="B271" s="491" t="str">
        <f>'целевые показатели'!B258</f>
        <v>Капитальный ремонт автомобильных дорог города Орла на улицах частной жилой застройки: ул. Высокая</v>
      </c>
      <c r="C271" s="22">
        <f>8175.53577/2</f>
        <v>4087.7678850000002</v>
      </c>
      <c r="D271" s="22">
        <v>0</v>
      </c>
      <c r="E271" s="22">
        <v>0</v>
      </c>
      <c r="F271" s="22">
        <f t="shared" si="14"/>
        <v>4046.8902061500003</v>
      </c>
      <c r="G271" s="231">
        <f t="shared" si="15"/>
        <v>40.877678849999938</v>
      </c>
      <c r="H271" s="232"/>
      <c r="I271" s="232"/>
      <c r="J271" s="246"/>
      <c r="K271" s="246"/>
      <c r="L271" s="487"/>
      <c r="M271" s="447"/>
    </row>
    <row r="272" spans="1:15" s="247" customFormat="1" ht="33" x14ac:dyDescent="0.25">
      <c r="A272" s="645" t="s">
        <v>718</v>
      </c>
      <c r="B272" s="491" t="str">
        <f>'целевые показатели'!B259</f>
        <v>Капитальный ремонт автомобильных дорог города Орла на улицах частной жилой застройки: ул.Радищева</v>
      </c>
      <c r="C272" s="22">
        <f>8246.36177/2</f>
        <v>4123.1808849999998</v>
      </c>
      <c r="D272" s="22">
        <v>0</v>
      </c>
      <c r="E272" s="22">
        <v>0</v>
      </c>
      <c r="F272" s="22">
        <f t="shared" si="14"/>
        <v>4081.9490761499997</v>
      </c>
      <c r="G272" s="231">
        <f t="shared" si="15"/>
        <v>41.231808850000107</v>
      </c>
      <c r="H272" s="232"/>
      <c r="I272" s="232"/>
      <c r="J272" s="246"/>
      <c r="K272" s="246"/>
      <c r="L272" s="487"/>
      <c r="M272" s="447"/>
    </row>
    <row r="273" spans="1:13" s="247" customFormat="1" ht="33" x14ac:dyDescent="0.25">
      <c r="A273" s="645" t="s">
        <v>719</v>
      </c>
      <c r="B273" s="491" t="str">
        <f>'целевые показатели'!B260</f>
        <v>Капитальный ремонт автомобильных дорог города Орла на улицах частной жилой застройки: ул.Волжская</v>
      </c>
      <c r="C273" s="22">
        <f>8246.36177/2</f>
        <v>4123.1808849999998</v>
      </c>
      <c r="D273" s="22">
        <v>0</v>
      </c>
      <c r="E273" s="22">
        <v>0</v>
      </c>
      <c r="F273" s="22">
        <f t="shared" si="14"/>
        <v>4081.9490761499997</v>
      </c>
      <c r="G273" s="231">
        <f t="shared" si="15"/>
        <v>41.231808850000107</v>
      </c>
      <c r="H273" s="232"/>
      <c r="I273" s="232"/>
      <c r="K273" s="246"/>
      <c r="L273" s="487"/>
    </row>
    <row r="274" spans="1:13" s="247" customFormat="1" ht="33" x14ac:dyDescent="0.25">
      <c r="A274" s="645" t="s">
        <v>720</v>
      </c>
      <c r="B274" s="491" t="str">
        <f>'целевые показатели'!B261</f>
        <v>Капитальный ремонт автомобильных дорог города Орла на улицах частной жилой застройки: ул.Гвардейская</v>
      </c>
      <c r="C274" s="22">
        <f>11151.77043/2-0.00001</f>
        <v>5575.8852050000005</v>
      </c>
      <c r="D274" s="22">
        <v>0</v>
      </c>
      <c r="E274" s="22">
        <v>0</v>
      </c>
      <c r="F274" s="22">
        <f>C274*0.99+0.00001</f>
        <v>5520.1263629499999</v>
      </c>
      <c r="G274" s="231">
        <f>C274-F274+0.00001</f>
        <v>55.75885205000057</v>
      </c>
      <c r="H274" s="232"/>
      <c r="I274" s="232"/>
      <c r="K274" s="246"/>
      <c r="L274" s="487"/>
    </row>
    <row r="275" spans="1:13" s="247" customFormat="1" ht="49.5" x14ac:dyDescent="0.25">
      <c r="A275" s="645" t="s">
        <v>721</v>
      </c>
      <c r="B275" s="491" t="str">
        <f>'целевые показатели'!B262</f>
        <v>Капитальный ремонт автомобильных дорог города Орла на улицах частной жилой застройки: пер.Южный от ул. Тульской до ул. Ольховецкой</v>
      </c>
      <c r="C275" s="22">
        <f>6362.39023/2+1107.7322-0.00001</f>
        <v>4288.9273050000002</v>
      </c>
      <c r="D275" s="22">
        <v>0</v>
      </c>
      <c r="E275" s="22">
        <v>0</v>
      </c>
      <c r="F275" s="22">
        <f t="shared" si="14"/>
        <v>4246.03803195</v>
      </c>
      <c r="G275" s="231">
        <f>C275-F275+0.00001</f>
        <v>42.889283050000159</v>
      </c>
      <c r="H275" s="232"/>
      <c r="I275" s="232"/>
      <c r="K275" s="246"/>
      <c r="L275" s="486"/>
    </row>
    <row r="276" spans="1:13" ht="33" x14ac:dyDescent="0.25">
      <c r="A276" s="645" t="s">
        <v>722</v>
      </c>
      <c r="B276" s="491" t="str">
        <f>'целевые показатели'!B263</f>
        <v>Капитальный ремонт автомобильных дорог города Орла на улицах частной жилой застройки: ул.Елецкая</v>
      </c>
      <c r="C276" s="22">
        <f>'целевые показатели'!K263</f>
        <v>15783.4701</v>
      </c>
      <c r="D276" s="22">
        <v>0</v>
      </c>
      <c r="E276" s="22">
        <v>0</v>
      </c>
      <c r="F276" s="22">
        <f t="shared" si="14"/>
        <v>15625.635399000001</v>
      </c>
      <c r="G276" s="231">
        <f t="shared" si="15"/>
        <v>157.83470099999977</v>
      </c>
      <c r="I276" s="238"/>
      <c r="J276" s="342"/>
      <c r="K276" s="237"/>
      <c r="M276" s="349"/>
    </row>
    <row r="277" spans="1:13" ht="33" x14ac:dyDescent="0.25">
      <c r="A277" s="645" t="s">
        <v>723</v>
      </c>
      <c r="B277" s="491" t="str">
        <f>'целевые показатели'!B264</f>
        <v>Капитальный ремонт автомобильных дорог города Орла на улицах частной жилой застройки: ул.Серпуховская</v>
      </c>
      <c r="C277" s="22">
        <f>'целевые показатели'!K264</f>
        <v>14205.123089999997</v>
      </c>
      <c r="D277" s="22">
        <v>0</v>
      </c>
      <c r="E277" s="22">
        <v>0</v>
      </c>
      <c r="F277" s="22">
        <f t="shared" si="14"/>
        <v>14063.071859099997</v>
      </c>
      <c r="G277" s="231">
        <f t="shared" si="15"/>
        <v>142.05123090000052</v>
      </c>
      <c r="J277" s="237"/>
      <c r="K277" s="237"/>
      <c r="L277" s="237"/>
      <c r="M277" s="17" t="s">
        <v>632</v>
      </c>
    </row>
    <row r="278" spans="1:13" ht="49.5" x14ac:dyDescent="0.25">
      <c r="A278" s="645" t="s">
        <v>724</v>
      </c>
      <c r="B278" s="491" t="str">
        <f>'целевые показатели'!B265</f>
        <v>Капитальный ремонт автомобильных дорог города Орла на улицах частной жилой застройки: пер.Приокский-ул.Отрадная</v>
      </c>
      <c r="C278" s="22">
        <f>'целевые показатели'!K265</f>
        <v>5800.4252617499997</v>
      </c>
      <c r="D278" s="22">
        <v>0</v>
      </c>
      <c r="E278" s="22">
        <v>0</v>
      </c>
      <c r="F278" s="22">
        <f t="shared" si="14"/>
        <v>5742.4210091324994</v>
      </c>
      <c r="G278" s="231">
        <f t="shared" si="15"/>
        <v>58.004252617500242</v>
      </c>
      <c r="J278" s="237"/>
      <c r="K278" s="237"/>
    </row>
    <row r="279" spans="1:13" ht="33" x14ac:dyDescent="0.25">
      <c r="A279" s="645" t="s">
        <v>725</v>
      </c>
      <c r="B279" s="491" t="str">
        <f>'целевые показатели'!B266</f>
        <v>Капитальный ремонт автомобильных дорог города Орла на улицах частной жилой застройки: ул.Приокская</v>
      </c>
      <c r="C279" s="22">
        <f>'целевые показатели'!K266</f>
        <v>2635.8395066999997</v>
      </c>
      <c r="D279" s="22">
        <v>0</v>
      </c>
      <c r="E279" s="22">
        <v>0</v>
      </c>
      <c r="F279" s="22">
        <f t="shared" si="14"/>
        <v>2609.4811116329997</v>
      </c>
      <c r="G279" s="231">
        <f t="shared" si="15"/>
        <v>26.358395066999947</v>
      </c>
      <c r="J279" s="81"/>
      <c r="K279" s="435"/>
    </row>
    <row r="280" spans="1:13" ht="33" x14ac:dyDescent="0.25">
      <c r="A280" s="645" t="s">
        <v>726</v>
      </c>
      <c r="B280" s="491" t="str">
        <f>'целевые показатели'!B267</f>
        <v>Капитальный ремонт автомобильных дорог города Орла на улицах частной жилой застройки: ул.Скульптурная</v>
      </c>
      <c r="C280" s="22">
        <f>'целевые показатели'!K267</f>
        <v>8680.908555</v>
      </c>
      <c r="D280" s="22">
        <v>0</v>
      </c>
      <c r="E280" s="22">
        <v>0</v>
      </c>
      <c r="F280" s="22">
        <f t="shared" si="14"/>
        <v>8594.0994694500005</v>
      </c>
      <c r="G280" s="231">
        <f t="shared" si="15"/>
        <v>86.809085549999509</v>
      </c>
      <c r="K280" s="237"/>
      <c r="L280" s="445"/>
      <c r="M280" s="17" t="s">
        <v>634</v>
      </c>
    </row>
    <row r="281" spans="1:13" ht="33" x14ac:dyDescent="0.25">
      <c r="A281" s="645" t="s">
        <v>727</v>
      </c>
      <c r="B281" s="491" t="str">
        <f>'целевые показатели'!B268</f>
        <v>Капитальный ремонт автомобильных дорог города Орла на улицах частной жилой застройки: ул.Менделеева</v>
      </c>
      <c r="C281" s="22">
        <f>'целевые показатели'!K268</f>
        <v>7086.7780749000003</v>
      </c>
      <c r="D281" s="22">
        <v>0</v>
      </c>
      <c r="E281" s="22">
        <v>0</v>
      </c>
      <c r="F281" s="22">
        <f t="shared" si="14"/>
        <v>7015.910294151</v>
      </c>
      <c r="G281" s="231">
        <f t="shared" si="15"/>
        <v>70.867780749000303</v>
      </c>
      <c r="J281" s="237"/>
      <c r="K281" s="237"/>
      <c r="L281" s="237"/>
    </row>
    <row r="282" spans="1:13" ht="33" x14ac:dyDescent="0.25">
      <c r="A282" s="645" t="s">
        <v>728</v>
      </c>
      <c r="B282" s="491" t="str">
        <f>'целевые показатели'!B269</f>
        <v>Капитальный ремонт автомобильных дорог города Орла на улицах частной жилой застройки: ул.Яблочная</v>
      </c>
      <c r="C282" s="22">
        <f>'целевые показатели'!K269</f>
        <v>12626.77608</v>
      </c>
      <c r="D282" s="22">
        <v>0</v>
      </c>
      <c r="E282" s="22">
        <v>0</v>
      </c>
      <c r="F282" s="22">
        <f t="shared" si="14"/>
        <v>12500.5083192</v>
      </c>
      <c r="G282" s="231">
        <f t="shared" si="15"/>
        <v>126.26776079999945</v>
      </c>
      <c r="K282" s="237"/>
    </row>
    <row r="283" spans="1:13" ht="33" x14ac:dyDescent="0.25">
      <c r="A283" s="645" t="s">
        <v>729</v>
      </c>
      <c r="B283" s="491" t="str">
        <f>'целевые показатели'!B270</f>
        <v>Капитальный ремонт автомобильных дорог города Орла на улицах частной жилой застройки: пер.Половецкий</v>
      </c>
      <c r="C283" s="22">
        <f>'целевые показатели'!K270</f>
        <v>9470.0820600000006</v>
      </c>
      <c r="D283" s="22">
        <v>0</v>
      </c>
      <c r="E283" s="22">
        <v>0</v>
      </c>
      <c r="F283" s="22">
        <f t="shared" si="14"/>
        <v>9375.3812393999997</v>
      </c>
      <c r="G283" s="231">
        <f t="shared" si="15"/>
        <v>94.700820600000952</v>
      </c>
      <c r="K283" s="237"/>
    </row>
    <row r="284" spans="1:13" ht="33" x14ac:dyDescent="0.25">
      <c r="A284" s="645" t="s">
        <v>730</v>
      </c>
      <c r="B284" s="491" t="str">
        <f>'целевые показатели'!B271</f>
        <v>Капитальный ремонт автомобильных дорог города Орла на улицах частной жилой застройки: ул. Полигонная</v>
      </c>
      <c r="C284" s="22">
        <f>'целевые показатели'!K271</f>
        <v>3259.28657565</v>
      </c>
      <c r="D284" s="22">
        <v>0</v>
      </c>
      <c r="E284" s="22">
        <v>0</v>
      </c>
      <c r="F284" s="22">
        <f t="shared" si="14"/>
        <v>3226.6937098935</v>
      </c>
      <c r="G284" s="231">
        <f t="shared" si="15"/>
        <v>32.592865756500032</v>
      </c>
      <c r="K284" s="237"/>
    </row>
    <row r="285" spans="1:13" ht="33" x14ac:dyDescent="0.25">
      <c r="A285" s="645" t="s">
        <v>731</v>
      </c>
      <c r="B285" s="491" t="str">
        <f>'целевые показатели'!B272</f>
        <v>Капитальный ремонт автомобильных дорог города Орла на улицах частной жилой застройки: ул. Ново-Лужковская</v>
      </c>
      <c r="C285" s="22">
        <f>'целевые показатели'!K272</f>
        <v>3874.8419095499994</v>
      </c>
      <c r="D285" s="22">
        <v>0</v>
      </c>
      <c r="E285" s="22">
        <v>0</v>
      </c>
      <c r="F285" s="22">
        <f t="shared" si="14"/>
        <v>3836.0934904544993</v>
      </c>
      <c r="G285" s="231">
        <f t="shared" si="15"/>
        <v>38.74841909550014</v>
      </c>
      <c r="I285" s="498"/>
      <c r="K285" s="237"/>
    </row>
    <row r="286" spans="1:13" ht="33" x14ac:dyDescent="0.25">
      <c r="A286" s="645" t="s">
        <v>732</v>
      </c>
      <c r="B286" s="491" t="str">
        <f>'целевые показатели'!B273</f>
        <v xml:space="preserve">Капитальный ремонт автомобильных дорог города Орла на улицах частной жилой застройки: ул. Магазинная </v>
      </c>
      <c r="C286" s="22">
        <v>5682.0492400000003</v>
      </c>
      <c r="D286" s="22">
        <v>0</v>
      </c>
      <c r="E286" s="22">
        <v>0</v>
      </c>
      <c r="F286" s="22">
        <f t="shared" si="14"/>
        <v>5625.2287476000001</v>
      </c>
      <c r="G286" s="231">
        <f t="shared" si="15"/>
        <v>56.820492400000148</v>
      </c>
      <c r="K286" s="237"/>
    </row>
    <row r="287" spans="1:13" ht="33" x14ac:dyDescent="0.25">
      <c r="A287" s="645" t="s">
        <v>733</v>
      </c>
      <c r="B287" s="491" t="str">
        <f>'целевые показатели'!B274</f>
        <v>Капитальный ремонт автомобильных дорог города Орла на улицах частной жилой застройки: ул.Турбина</v>
      </c>
      <c r="C287" s="22">
        <f>'целевые показатели'!K274</f>
        <v>2769.9990025499997</v>
      </c>
      <c r="D287" s="22">
        <v>0</v>
      </c>
      <c r="E287" s="22">
        <v>0</v>
      </c>
      <c r="F287" s="22">
        <f t="shared" si="14"/>
        <v>2742.2990125244996</v>
      </c>
      <c r="G287" s="231">
        <f t="shared" si="15"/>
        <v>27.699990025500028</v>
      </c>
      <c r="K287" s="237"/>
    </row>
    <row r="288" spans="1:13" ht="33" x14ac:dyDescent="0.25">
      <c r="A288" s="645" t="s">
        <v>734</v>
      </c>
      <c r="B288" s="491" t="str">
        <f>'целевые показатели'!B275</f>
        <v>Капитальный ремонт автомобильных дорог города Орла на улицах частной жилой застройки: ул.Кривцова</v>
      </c>
      <c r="C288" s="22">
        <f>'целевые показатели'!K275</f>
        <v>3551.2807724999993</v>
      </c>
      <c r="D288" s="22">
        <v>0</v>
      </c>
      <c r="E288" s="22">
        <v>0</v>
      </c>
      <c r="F288" s="22">
        <f t="shared" si="14"/>
        <v>3515.7679647749992</v>
      </c>
      <c r="G288" s="231">
        <f t="shared" si="15"/>
        <v>35.51280772500013</v>
      </c>
      <c r="K288" s="237"/>
    </row>
    <row r="289" spans="1:11" ht="33" x14ac:dyDescent="0.25">
      <c r="A289" s="645" t="s">
        <v>735</v>
      </c>
      <c r="B289" s="491" t="str">
        <f>'целевые показатели'!B276</f>
        <v>Капитальный ремонт автомобильных дорог города Орла на улицах частной жилой застройки: пер.Городской</v>
      </c>
      <c r="C289" s="22">
        <f>'целевые показатели'!K276</f>
        <v>4561.4228588999995</v>
      </c>
      <c r="D289" s="22">
        <v>0</v>
      </c>
      <c r="E289" s="22">
        <v>0</v>
      </c>
      <c r="F289" s="22">
        <f t="shared" si="14"/>
        <v>4515.8086303109994</v>
      </c>
      <c r="G289" s="231">
        <f t="shared" si="15"/>
        <v>45.614228589000049</v>
      </c>
      <c r="K289" s="237"/>
    </row>
    <row r="290" spans="1:11" ht="33" x14ac:dyDescent="0.25">
      <c r="A290" s="645" t="s">
        <v>736</v>
      </c>
      <c r="B290" s="491" t="str">
        <f>'целевые показатели'!B277</f>
        <v>Капитальный ремонт автомобильных дорог города Орла на улицах частной жилой застройки: ул.Линейная</v>
      </c>
      <c r="C290" s="22">
        <f>'целевые показатели'!K277</f>
        <v>7165.6954254000002</v>
      </c>
      <c r="D290" s="22">
        <v>0</v>
      </c>
      <c r="E290" s="22">
        <v>0</v>
      </c>
      <c r="F290" s="22">
        <f t="shared" si="14"/>
        <v>7094.0384711460001</v>
      </c>
      <c r="G290" s="231">
        <f t="shared" si="15"/>
        <v>71.656954254000084</v>
      </c>
      <c r="K290" s="237"/>
    </row>
    <row r="291" spans="1:11" ht="33" x14ac:dyDescent="0.25">
      <c r="A291" s="645" t="s">
        <v>737</v>
      </c>
      <c r="B291" s="491" t="str">
        <f>'целевые показатели'!B278</f>
        <v>Капитальный ремонт автомобильных дорог города Орла на улицах частной жилой застройки: ул.Степная</v>
      </c>
      <c r="C291" s="22">
        <v>7544.4981699999998</v>
      </c>
      <c r="D291" s="22">
        <v>0</v>
      </c>
      <c r="E291" s="22">
        <v>0</v>
      </c>
      <c r="F291" s="22">
        <f t="shared" si="14"/>
        <v>7469.0531882999994</v>
      </c>
      <c r="G291" s="231">
        <f t="shared" si="15"/>
        <v>75.444981700000426</v>
      </c>
      <c r="K291" s="237"/>
    </row>
    <row r="292" spans="1:11" ht="49.5" x14ac:dyDescent="0.25">
      <c r="A292" s="645" t="s">
        <v>738</v>
      </c>
      <c r="B292" s="503" t="str">
        <f>'целевые показатели'!B279</f>
        <v>Капитальный ремонт автомобильных дорог города Орла на улицах частной жилой застройки: ул.Лужковская от ул. Поселковая до ул. Афонина</v>
      </c>
      <c r="C292" s="343">
        <f>'целевые показатели'!K279</f>
        <v>4474.6138033500001</v>
      </c>
      <c r="D292" s="343">
        <v>0</v>
      </c>
      <c r="E292" s="343">
        <v>0</v>
      </c>
      <c r="F292" s="343">
        <f>C292*0.99-0.00001</f>
        <v>4429.8676553165005</v>
      </c>
      <c r="G292" s="239">
        <f>C292-F292-0.00001</f>
        <v>44.746138033499591</v>
      </c>
      <c r="K292" s="237"/>
    </row>
    <row r="293" spans="1:11" ht="33" x14ac:dyDescent="0.25">
      <c r="A293" s="645" t="s">
        <v>739</v>
      </c>
      <c r="B293" s="491" t="str">
        <f>'целевые показатели'!B280</f>
        <v xml:space="preserve">Капитальный ремонт автомобильных дорог города Орла на улицах частной жилой застройки: ул.Уральская </v>
      </c>
      <c r="C293" s="22">
        <f>'целевые показатели'!K280</f>
        <v>2643.7312417500002</v>
      </c>
      <c r="D293" s="22">
        <v>0</v>
      </c>
      <c r="E293" s="22">
        <v>0</v>
      </c>
      <c r="F293" s="22">
        <f t="shared" si="14"/>
        <v>2617.2939293325003</v>
      </c>
      <c r="G293" s="231">
        <f t="shared" si="15"/>
        <v>26.437312417499925</v>
      </c>
      <c r="K293" s="237"/>
    </row>
    <row r="294" spans="1:11" ht="33" x14ac:dyDescent="0.25">
      <c r="A294" s="645" t="s">
        <v>740</v>
      </c>
      <c r="B294" s="503" t="str">
        <f>'целевые показатели'!B281</f>
        <v>Капитальный ремонт автомобильных дорог города Орла на улицах частной жилой застройки: ул.Мичурина</v>
      </c>
      <c r="C294" s="343">
        <f>'целевые показатели'!K281</f>
        <v>10259.265565</v>
      </c>
      <c r="D294" s="343">
        <v>0</v>
      </c>
      <c r="E294" s="343">
        <v>0</v>
      </c>
      <c r="F294" s="343">
        <f t="shared" si="14"/>
        <v>10156.67290935</v>
      </c>
      <c r="G294" s="239">
        <f t="shared" si="15"/>
        <v>102.59265564999987</v>
      </c>
      <c r="K294" s="237"/>
    </row>
    <row r="295" spans="1:11" ht="33" x14ac:dyDescent="0.25">
      <c r="A295" s="645" t="s">
        <v>741</v>
      </c>
      <c r="B295" s="491" t="str">
        <f>'целевые показатели'!B282</f>
        <v>Капитальный ремонт автомобильных дорог города Орла на улицах частной жилой застройки: ул. Смоленская</v>
      </c>
      <c r="C295" s="22">
        <f>'целевые показатели'!K282</f>
        <v>5074.3856371499996</v>
      </c>
      <c r="D295" s="22">
        <v>0</v>
      </c>
      <c r="E295" s="22">
        <v>0</v>
      </c>
      <c r="F295" s="22">
        <f t="shared" si="14"/>
        <v>5023.6417807784992</v>
      </c>
      <c r="G295" s="231">
        <f t="shared" si="15"/>
        <v>50.743856371500442</v>
      </c>
      <c r="K295" s="237"/>
    </row>
    <row r="296" spans="1:11" ht="49.5" x14ac:dyDescent="0.25">
      <c r="A296" s="645" t="s">
        <v>742</v>
      </c>
      <c r="B296" s="491" t="str">
        <f>'целевые показатели'!B283</f>
        <v>Капитальный ремонт автомобильных дорог города Орла на улицах частной жилой застройки: ул. 3 Курская от ул. Магазинной до дома 94</v>
      </c>
      <c r="C296" s="22">
        <f>'целевые показатели'!K283</f>
        <v>1167.9767873999999</v>
      </c>
      <c r="D296" s="22">
        <v>0</v>
      </c>
      <c r="E296" s="22">
        <v>0</v>
      </c>
      <c r="F296" s="22">
        <f t="shared" si="14"/>
        <v>1156.297019526</v>
      </c>
      <c r="G296" s="231">
        <f t="shared" si="15"/>
        <v>11.679767873999936</v>
      </c>
      <c r="K296" s="237"/>
    </row>
    <row r="297" spans="1:11" ht="33" x14ac:dyDescent="0.25">
      <c r="A297" s="645" t="s">
        <v>743</v>
      </c>
      <c r="B297" s="491" t="str">
        <f>'целевые показатели'!B284</f>
        <v>Капитальный ремонт автомобильных дорог города Орла на улицах частной жилой застройки: ул. Дружбы</v>
      </c>
      <c r="C297" s="22">
        <f>'целевые показатели'!K284</f>
        <v>4293.1038671999995</v>
      </c>
      <c r="D297" s="22">
        <v>0</v>
      </c>
      <c r="E297" s="22">
        <v>0</v>
      </c>
      <c r="F297" s="22">
        <f t="shared" si="14"/>
        <v>4250.1728285279996</v>
      </c>
      <c r="G297" s="231">
        <f t="shared" si="15"/>
        <v>42.931038671999886</v>
      </c>
      <c r="K297" s="237"/>
    </row>
    <row r="298" spans="1:11" ht="30" customHeight="1" x14ac:dyDescent="0.25">
      <c r="A298" s="645" t="s">
        <v>744</v>
      </c>
      <c r="B298" s="491" t="str">
        <f>'целевые показатели'!B285</f>
        <v>Капитальный ремонт автомобильных дорог города Орла на улицах частной жилой застройки: пер. Ковыльный</v>
      </c>
      <c r="C298" s="22">
        <f>'целевые показатели'!K285</f>
        <v>3496.0386271500001</v>
      </c>
      <c r="D298" s="22">
        <v>0</v>
      </c>
      <c r="E298" s="22">
        <v>0</v>
      </c>
      <c r="F298" s="22">
        <f t="shared" si="14"/>
        <v>3461.0782408785003</v>
      </c>
      <c r="G298" s="231">
        <f t="shared" si="15"/>
        <v>34.960386271499829</v>
      </c>
      <c r="K298" s="237"/>
    </row>
    <row r="299" spans="1:11" ht="33" x14ac:dyDescent="0.25">
      <c r="A299" s="645" t="s">
        <v>745</v>
      </c>
      <c r="B299" s="491" t="str">
        <f>'целевые показатели'!B286</f>
        <v>Капитальный ремонт автомобильных дорог города Орла на улицах частной жилой застройки: пер. Лужковский</v>
      </c>
      <c r="C299" s="22">
        <f>'целевые показатели'!K286</f>
        <v>5634.6988257000003</v>
      </c>
      <c r="D299" s="22">
        <v>0</v>
      </c>
      <c r="E299" s="22">
        <v>0</v>
      </c>
      <c r="F299" s="22">
        <f t="shared" si="14"/>
        <v>5578.3518374430005</v>
      </c>
      <c r="G299" s="231">
        <f t="shared" si="15"/>
        <v>56.346988256999794</v>
      </c>
      <c r="K299" s="237"/>
    </row>
    <row r="300" spans="1:11" ht="33" x14ac:dyDescent="0.25">
      <c r="A300" s="645" t="s">
        <v>746</v>
      </c>
      <c r="B300" s="491" t="str">
        <f>'целевые показатели'!B287</f>
        <v>Капитальный ремонт автомобильных дорог города Орла на улицах частной жилой застройки: пер. Менделеева</v>
      </c>
      <c r="C300" s="22">
        <f>'целевые показатели'!K287</f>
        <v>1120.6263270999998</v>
      </c>
      <c r="D300" s="22">
        <v>0</v>
      </c>
      <c r="E300" s="22">
        <v>0</v>
      </c>
      <c r="F300" s="22">
        <f>C300*0.99</f>
        <v>1109.4200638289999</v>
      </c>
      <c r="G300" s="231">
        <f>C300-F300+0.00001</f>
        <v>11.206273270999898</v>
      </c>
      <c r="K300" s="237"/>
    </row>
    <row r="301" spans="1:11" ht="33" x14ac:dyDescent="0.25">
      <c r="A301" s="645" t="s">
        <v>747</v>
      </c>
      <c r="B301" s="491" t="str">
        <f>'целевые показатели'!B288</f>
        <v>Капитальный ремонт автомобильных дорог города Орла на улицах частной жилой застройки: пер. Еловый</v>
      </c>
      <c r="C301" s="22">
        <f>'целевые показатели'!K288</f>
        <v>1262.6776079999997</v>
      </c>
      <c r="D301" s="22">
        <v>0</v>
      </c>
      <c r="E301" s="22">
        <v>0</v>
      </c>
      <c r="F301" s="22">
        <f t="shared" si="14"/>
        <v>1250.0508319199998</v>
      </c>
      <c r="G301" s="231">
        <f t="shared" si="15"/>
        <v>12.6267760799999</v>
      </c>
      <c r="K301" s="237"/>
    </row>
    <row r="302" spans="1:11" ht="33" x14ac:dyDescent="0.25">
      <c r="A302" s="645" t="s">
        <v>748</v>
      </c>
      <c r="B302" s="491" t="str">
        <f>'целевые показатели'!B289</f>
        <v>Капитальный ремонт автомобильных дорог города Орла на улицах частной жилой застройки: ул. Светлая</v>
      </c>
      <c r="C302" s="22">
        <f>'целевые показатели'!K289</f>
        <v>3685.4402683500002</v>
      </c>
      <c r="D302" s="22">
        <v>0</v>
      </c>
      <c r="E302" s="22">
        <v>0</v>
      </c>
      <c r="F302" s="22">
        <f t="shared" si="14"/>
        <v>3648.5858656665</v>
      </c>
      <c r="G302" s="231">
        <f t="shared" si="15"/>
        <v>36.854402683500211</v>
      </c>
      <c r="K302" s="237"/>
    </row>
    <row r="303" spans="1:11" ht="33" x14ac:dyDescent="0.25">
      <c r="A303" s="645" t="s">
        <v>749</v>
      </c>
      <c r="B303" s="491" t="str">
        <f>'целевые показатели'!B290</f>
        <v>Капитальный ремонт автомобильных дорог города Орла на улицах частной жилой застройки: пер. Грибной</v>
      </c>
      <c r="C303" s="22">
        <f>'целевые показатели'!K290</f>
        <v>1467.8627192999998</v>
      </c>
      <c r="D303" s="22">
        <v>0</v>
      </c>
      <c r="E303" s="22">
        <v>0</v>
      </c>
      <c r="F303" s="22">
        <f t="shared" si="14"/>
        <v>1453.1840921069997</v>
      </c>
      <c r="G303" s="231">
        <f t="shared" si="15"/>
        <v>14.678627193000011</v>
      </c>
      <c r="K303" s="237"/>
    </row>
    <row r="304" spans="1:11" ht="53.25" customHeight="1" x14ac:dyDescent="0.25">
      <c r="A304" s="645" t="s">
        <v>750</v>
      </c>
      <c r="B304" s="491" t="str">
        <f>'целевые показатели'!B291</f>
        <v>Капитальный ремонт автомобильных дорог города Орла на улицах частной жилой застройки: ул. 6 Орловской дивизии (на участке от ул. Афонина до ул. Поселковая)</v>
      </c>
      <c r="C304" s="22">
        <f>'целевые показатели'!K291</f>
        <v>3535.4973024000001</v>
      </c>
      <c r="D304" s="22">
        <v>0</v>
      </c>
      <c r="E304" s="22">
        <v>0</v>
      </c>
      <c r="F304" s="22">
        <f t="shared" si="14"/>
        <v>3500.1423293759999</v>
      </c>
      <c r="G304" s="231">
        <f t="shared" si="15"/>
        <v>35.354973024000174</v>
      </c>
      <c r="K304" s="237"/>
    </row>
    <row r="305" spans="1:11" ht="33" x14ac:dyDescent="0.25">
      <c r="A305" s="645" t="s">
        <v>751</v>
      </c>
      <c r="B305" s="491" t="str">
        <f>'целевые показатели'!B292</f>
        <v>Капитальный ремонт автомобильных дорог города Орла на улицах частной жилой застройки: ул. Заречная</v>
      </c>
      <c r="C305" s="22">
        <f>'целевые показатели'!K292</f>
        <v>7189.37063055</v>
      </c>
      <c r="D305" s="22">
        <v>0</v>
      </c>
      <c r="E305" s="22">
        <v>0</v>
      </c>
      <c r="F305" s="22">
        <f t="shared" si="14"/>
        <v>7117.4769242445</v>
      </c>
      <c r="G305" s="231">
        <f t="shared" si="15"/>
        <v>71.893706305500018</v>
      </c>
      <c r="K305" s="237"/>
    </row>
    <row r="306" spans="1:11" ht="33" x14ac:dyDescent="0.25">
      <c r="A306" s="645" t="s">
        <v>752</v>
      </c>
      <c r="B306" s="491" t="str">
        <f>'целевые показатели'!B293</f>
        <v>Капитальный ремонт автомобильных дорог города Орла на улицах частной жилой застройки: ул. Тимирязева</v>
      </c>
      <c r="C306" s="22">
        <f>'целевые показатели'!K293</f>
        <v>7670.7664385999997</v>
      </c>
      <c r="D306" s="22">
        <v>0</v>
      </c>
      <c r="E306" s="22">
        <v>0</v>
      </c>
      <c r="F306" s="22">
        <f>C306*0.99</f>
        <v>7594.0587742139996</v>
      </c>
      <c r="G306" s="231">
        <f>C306-F306+0.00001</f>
        <v>76.707674386000036</v>
      </c>
      <c r="K306" s="237"/>
    </row>
    <row r="307" spans="1:11" ht="33" x14ac:dyDescent="0.25">
      <c r="A307" s="645" t="s">
        <v>753</v>
      </c>
      <c r="B307" s="491" t="str">
        <f>'целевые показатели'!B294</f>
        <v>Капитальный ремонт автомобильных дорог города Орла на улицах частной жилой застройки: ул. Афонина</v>
      </c>
      <c r="C307" s="22">
        <f>'целевые показатели'!K294</f>
        <v>5074.3856371499996</v>
      </c>
      <c r="D307" s="22">
        <v>0</v>
      </c>
      <c r="E307" s="22">
        <v>0</v>
      </c>
      <c r="F307" s="22">
        <f t="shared" si="14"/>
        <v>5023.6417807784992</v>
      </c>
      <c r="G307" s="231">
        <f t="shared" si="15"/>
        <v>50.743856371500442</v>
      </c>
      <c r="K307" s="237"/>
    </row>
    <row r="308" spans="1:11" ht="33" x14ac:dyDescent="0.25">
      <c r="A308" s="645" t="s">
        <v>754</v>
      </c>
      <c r="B308" s="491" t="str">
        <f>'целевые показатели'!B295</f>
        <v>Капитальный ремонт автомобильных дорог города Орла на улицах частной жилой застройки: пер. Пойменный</v>
      </c>
      <c r="C308" s="22">
        <f>'целевые показатели'!K295</f>
        <v>2754.2155624500001</v>
      </c>
      <c r="D308" s="22">
        <v>0</v>
      </c>
      <c r="E308" s="22">
        <v>0</v>
      </c>
      <c r="F308" s="22">
        <f>C308*0.99-0.00001</f>
        <v>2726.6733968254998</v>
      </c>
      <c r="G308" s="231">
        <f>C308-F308-0.00001</f>
        <v>27.542155624500285</v>
      </c>
      <c r="I308" s="22"/>
      <c r="K308" s="237"/>
    </row>
    <row r="309" spans="1:11" ht="33" x14ac:dyDescent="0.25">
      <c r="A309" s="645" t="s">
        <v>755</v>
      </c>
      <c r="B309" s="491" t="str">
        <f>'целевые показатели'!B296</f>
        <v>Капитальный ремонт автомобильных дорог города Орла на улицах частной жилой застройки: пер. Отрадный</v>
      </c>
      <c r="C309" s="22">
        <f>'целевые показатели'!K296</f>
        <v>1191.6519925499999</v>
      </c>
      <c r="D309" s="22">
        <v>0</v>
      </c>
      <c r="E309" s="22">
        <v>0</v>
      </c>
      <c r="F309" s="22">
        <f t="shared" si="14"/>
        <v>1179.7354726244998</v>
      </c>
      <c r="G309" s="231">
        <f t="shared" si="15"/>
        <v>11.916519925500097</v>
      </c>
      <c r="I309" s="22"/>
      <c r="K309" s="237"/>
    </row>
    <row r="310" spans="1:11" ht="33" x14ac:dyDescent="0.25">
      <c r="A310" s="645" t="s">
        <v>756</v>
      </c>
      <c r="B310" s="491" t="str">
        <f>'целевые показатели'!B297</f>
        <v>Капитальный ремонт автомобильных дорог города Орла на улицах частной жилой застройки: ул. Пойменная 1 этап</v>
      </c>
      <c r="C310" s="22">
        <f>I308+I309</f>
        <v>0</v>
      </c>
      <c r="D310" s="22">
        <v>0</v>
      </c>
      <c r="E310" s="22">
        <v>0</v>
      </c>
      <c r="F310" s="22">
        <f t="shared" si="14"/>
        <v>0</v>
      </c>
      <c r="G310" s="231">
        <f t="shared" si="15"/>
        <v>0</v>
      </c>
      <c r="I310" s="498"/>
      <c r="K310" s="237"/>
    </row>
    <row r="311" spans="1:11" ht="33" x14ac:dyDescent="0.25">
      <c r="A311" s="645" t="s">
        <v>757</v>
      </c>
      <c r="B311" s="491" t="str">
        <f>'целевые показатели'!B298</f>
        <v>Капитальный ремонт автомобильных дорог города Орла на улицах частной жилой застройки: пер. Преображенского</v>
      </c>
      <c r="C311" s="22">
        <f>'целевые показатели'!K298</f>
        <v>1791.4238563500001</v>
      </c>
      <c r="D311" s="22">
        <v>0</v>
      </c>
      <c r="E311" s="22">
        <v>0</v>
      </c>
      <c r="F311" s="22">
        <f t="shared" si="14"/>
        <v>1773.5096177865</v>
      </c>
      <c r="G311" s="231">
        <f t="shared" si="15"/>
        <v>17.914238563500021</v>
      </c>
      <c r="K311" s="237"/>
    </row>
    <row r="312" spans="1:11" ht="33" x14ac:dyDescent="0.25">
      <c r="A312" s="645" t="s">
        <v>758</v>
      </c>
      <c r="B312" s="491" t="str">
        <f>'целевые показатели'!B299</f>
        <v>Капитальный ремонт автомобильных дорог города Орла на улицах частной жилой застройки: ул. Радужная</v>
      </c>
      <c r="C312" s="22">
        <f>'целевые показатели'!K299</f>
        <v>4561.4228588999995</v>
      </c>
      <c r="D312" s="22">
        <v>0</v>
      </c>
      <c r="E312" s="22">
        <v>0</v>
      </c>
      <c r="F312" s="22">
        <f t="shared" si="14"/>
        <v>4515.8086303109994</v>
      </c>
      <c r="G312" s="231">
        <f t="shared" si="15"/>
        <v>45.614228589000049</v>
      </c>
      <c r="K312" s="237"/>
    </row>
    <row r="313" spans="1:11" ht="33" x14ac:dyDescent="0.25">
      <c r="A313" s="645" t="s">
        <v>759</v>
      </c>
      <c r="B313" s="491" t="str">
        <f>'целевые показатели'!B300</f>
        <v>Капитальный ремонт автомобильных дорог города Орла на улицах частной жилой застройки: Равнинный пер.</v>
      </c>
      <c r="C313" s="22">
        <f>'целевые показатели'!K300</f>
        <v>1365.2701636499999</v>
      </c>
      <c r="D313" s="22">
        <v>0</v>
      </c>
      <c r="E313" s="22">
        <v>0</v>
      </c>
      <c r="F313" s="22">
        <f t="shared" si="14"/>
        <v>1351.6174620134998</v>
      </c>
      <c r="G313" s="231">
        <f t="shared" si="15"/>
        <v>13.652701636500069</v>
      </c>
      <c r="K313" s="237"/>
    </row>
    <row r="314" spans="1:11" ht="33" x14ac:dyDescent="0.25">
      <c r="A314" s="645" t="s">
        <v>760</v>
      </c>
      <c r="B314" s="491" t="str">
        <f>'целевые показатели'!B301</f>
        <v>Капитальный ремонт автомобильных дорог города Орла на улицах частной жилой застройки: пер. Скульптурный</v>
      </c>
      <c r="C314" s="22">
        <f>'целевые показатели'!K301</f>
        <v>1049.6007616500001</v>
      </c>
      <c r="D314" s="22">
        <v>0</v>
      </c>
      <c r="E314" s="22">
        <v>0</v>
      </c>
      <c r="F314" s="22">
        <f t="shared" si="14"/>
        <v>1039.1047540335001</v>
      </c>
      <c r="G314" s="231">
        <f t="shared" si="15"/>
        <v>10.496007616500037</v>
      </c>
      <c r="K314" s="237"/>
    </row>
    <row r="315" spans="1:11" ht="33" x14ac:dyDescent="0.25">
      <c r="A315" s="645" t="s">
        <v>761</v>
      </c>
      <c r="B315" s="491" t="str">
        <f>'целевые показатели'!B302</f>
        <v>Капитальный ремонт автомобильных дорог города Орла на улицах частной жилой застройки: пер. Проходной</v>
      </c>
      <c r="C315" s="22">
        <f>'целевые показатели'!K302</f>
        <v>970.68341114999998</v>
      </c>
      <c r="D315" s="22">
        <v>0</v>
      </c>
      <c r="E315" s="22">
        <v>0</v>
      </c>
      <c r="F315" s="22">
        <f t="shared" si="14"/>
        <v>960.97657703849995</v>
      </c>
      <c r="G315" s="231">
        <f t="shared" si="15"/>
        <v>9.7068341115000294</v>
      </c>
      <c r="K315" s="237"/>
    </row>
    <row r="316" spans="1:11" ht="33" x14ac:dyDescent="0.25">
      <c r="A316" s="645" t="s">
        <v>762</v>
      </c>
      <c r="B316" s="491" t="str">
        <f>'целевые показатели'!B303</f>
        <v>Капитальный ремонт автомобильных дорог города Орла на улицах частной жилой застройки: пер. Заливной</v>
      </c>
      <c r="C316" s="22">
        <f>'целевые показатели'!K303</f>
        <v>1262.6776079999997</v>
      </c>
      <c r="D316" s="22">
        <v>0</v>
      </c>
      <c r="E316" s="22">
        <v>0</v>
      </c>
      <c r="F316" s="22">
        <f t="shared" si="14"/>
        <v>1250.0508319199998</v>
      </c>
      <c r="G316" s="231">
        <f t="shared" si="15"/>
        <v>12.6267760799999</v>
      </c>
      <c r="K316" s="237"/>
    </row>
    <row r="317" spans="1:11" ht="33" x14ac:dyDescent="0.25">
      <c r="A317" s="645" t="s">
        <v>763</v>
      </c>
      <c r="B317" s="491" t="str">
        <f>'целевые показатели'!B304</f>
        <v>Капитальный ремонт автомобильных дорог города Орла на улицах частной жилой застройки: ул. Преображенского</v>
      </c>
      <c r="C317" s="22">
        <f>'целевые показатели'!K304</f>
        <v>7726.0086339499985</v>
      </c>
      <c r="D317" s="22">
        <v>0</v>
      </c>
      <c r="E317" s="22">
        <v>0</v>
      </c>
      <c r="F317" s="22">
        <f>C317*0.99-0.00001</f>
        <v>7648.7485376104987</v>
      </c>
      <c r="G317" s="231">
        <f>C317-F317-0.00001</f>
        <v>77.260086339499793</v>
      </c>
      <c r="K317" s="237"/>
    </row>
    <row r="318" spans="1:11" ht="33" x14ac:dyDescent="0.25">
      <c r="A318" s="645" t="s">
        <v>764</v>
      </c>
      <c r="B318" s="491" t="str">
        <f>'целевые показатели'!B305</f>
        <v>Капитальный ремонт автомобильных дорог города Орла на улицах частной жилой застройки: пер. Донской</v>
      </c>
      <c r="C318" s="22">
        <f>'целевые показатели'!K305</f>
        <v>5034.9269618999997</v>
      </c>
      <c r="D318" s="22">
        <v>0</v>
      </c>
      <c r="E318" s="22">
        <v>0</v>
      </c>
      <c r="F318" s="22">
        <f t="shared" si="14"/>
        <v>4984.5776922810001</v>
      </c>
      <c r="G318" s="231">
        <f t="shared" si="15"/>
        <v>50.349269618999642</v>
      </c>
      <c r="K318" s="237"/>
    </row>
    <row r="319" spans="1:11" ht="33" x14ac:dyDescent="0.25">
      <c r="A319" s="645" t="s">
        <v>765</v>
      </c>
      <c r="B319" s="491" t="str">
        <f>'целевые показатели'!B306</f>
        <v>Капитальный ремонт автомобильных дорог города Орла на улицах частной жилой застройки: туп. Стеклянный</v>
      </c>
      <c r="C319" s="22">
        <f>'целевые показатели'!K306</f>
        <v>1459.9709842499999</v>
      </c>
      <c r="D319" s="22">
        <v>0</v>
      </c>
      <c r="E319" s="22">
        <v>0</v>
      </c>
      <c r="F319" s="22">
        <f t="shared" si="14"/>
        <v>1445.3712744074999</v>
      </c>
      <c r="G319" s="231">
        <f t="shared" si="15"/>
        <v>14.599709842500033</v>
      </c>
      <c r="K319" s="237"/>
    </row>
    <row r="320" spans="1:11" ht="33" x14ac:dyDescent="0.25">
      <c r="A320" s="645" t="s">
        <v>766</v>
      </c>
      <c r="B320" s="491" t="str">
        <f>'целевые показатели'!B307</f>
        <v>Капитальный ремонт автомобильных дорог города Орла на улицах частной жилой застройки: пер. Стеклянный</v>
      </c>
      <c r="C320" s="22">
        <f>'целевые показатели'!K307</f>
        <v>828.63218024999981</v>
      </c>
      <c r="D320" s="22">
        <v>0</v>
      </c>
      <c r="E320" s="22">
        <v>0</v>
      </c>
      <c r="F320" s="22">
        <f t="shared" si="14"/>
        <v>820.34585844749984</v>
      </c>
      <c r="G320" s="231">
        <f t="shared" si="15"/>
        <v>8.2863218024999696</v>
      </c>
      <c r="K320" s="237"/>
    </row>
    <row r="321" spans="1:11" ht="33" x14ac:dyDescent="0.25">
      <c r="A321" s="645" t="s">
        <v>767</v>
      </c>
      <c r="B321" s="491" t="str">
        <f>'целевые показатели'!B308</f>
        <v>Капитальный ремонт автомобильных дорог города Орла на улицах частной жилой застройки: пер. Игрушечный</v>
      </c>
      <c r="C321" s="22">
        <f>'целевые показатели'!K308</f>
        <v>2549.0304211499997</v>
      </c>
      <c r="D321" s="22">
        <v>0</v>
      </c>
      <c r="E321" s="22">
        <v>0</v>
      </c>
      <c r="F321" s="22">
        <f t="shared" si="14"/>
        <v>2523.5401169384995</v>
      </c>
      <c r="G321" s="231">
        <f t="shared" si="15"/>
        <v>25.490304211500188</v>
      </c>
      <c r="K321" s="237"/>
    </row>
    <row r="322" spans="1:11" ht="33" x14ac:dyDescent="0.25">
      <c r="A322" s="645" t="s">
        <v>768</v>
      </c>
      <c r="B322" s="491" t="str">
        <f>'целевые показатели'!B309</f>
        <v>Капитальный ремонт автомобильных дорог города Орла на улицах частной жилой застройки: туп. Линейный</v>
      </c>
      <c r="C322" s="22">
        <f>'целевые показатели'!K309</f>
        <v>2391.1957201499999</v>
      </c>
      <c r="D322" s="22">
        <v>0</v>
      </c>
      <c r="E322" s="22">
        <v>0</v>
      </c>
      <c r="F322" s="22">
        <f t="shared" si="14"/>
        <v>2367.2837629484998</v>
      </c>
      <c r="G322" s="231">
        <f t="shared" si="15"/>
        <v>23.911957201500172</v>
      </c>
      <c r="K322" s="237"/>
    </row>
    <row r="323" spans="1:11" ht="33" x14ac:dyDescent="0.25">
      <c r="A323" s="645" t="s">
        <v>769</v>
      </c>
      <c r="B323" s="491" t="str">
        <f>'целевые показатели'!B310</f>
        <v>Капитальный ремонт автомобильных дорог города Орла на улицах частной жилой застройки: ул. Чкалова</v>
      </c>
      <c r="C323" s="22">
        <f>'целевые показатели'!K310</f>
        <v>11837.602574999999</v>
      </c>
      <c r="D323" s="22">
        <v>0</v>
      </c>
      <c r="E323" s="22">
        <v>0</v>
      </c>
      <c r="F323" s="22">
        <f t="shared" si="14"/>
        <v>11719.226549249999</v>
      </c>
      <c r="G323" s="231">
        <f t="shared" si="15"/>
        <v>118.37602574999983</v>
      </c>
      <c r="H323" s="446"/>
      <c r="K323" s="237"/>
    </row>
    <row r="324" spans="1:11" ht="33" x14ac:dyDescent="0.25">
      <c r="A324" s="645" t="s">
        <v>770</v>
      </c>
      <c r="B324" s="491" t="str">
        <f>'целевые показатели'!B311</f>
        <v>Капитальный ремонт автомобильных дорог города Орла на улицах частной жилой застройки: ул. Станционная</v>
      </c>
      <c r="C324" s="22">
        <f>'целевые показатели'!K311</f>
        <v>6921.05163885</v>
      </c>
      <c r="D324" s="22">
        <v>0</v>
      </c>
      <c r="E324" s="22">
        <v>0</v>
      </c>
      <c r="F324" s="22">
        <f t="shared" si="14"/>
        <v>6851.8411224615002</v>
      </c>
      <c r="G324" s="231">
        <f t="shared" si="15"/>
        <v>69.210516388499855</v>
      </c>
      <c r="H324" s="446"/>
      <c r="K324" s="237"/>
    </row>
    <row r="325" spans="1:11" ht="33" x14ac:dyDescent="0.25">
      <c r="A325" s="645" t="s">
        <v>771</v>
      </c>
      <c r="B325" s="491" t="str">
        <f>'целевые показатели'!B312</f>
        <v>Капитальный ремонт автомобильных дорог города Орла на улицах частной жилой застройки: ул. Лесопильная</v>
      </c>
      <c r="C325" s="22">
        <f>'целевые показатели'!K312</f>
        <v>7891.7350500000002</v>
      </c>
      <c r="D325" s="22">
        <v>0</v>
      </c>
      <c r="E325" s="22">
        <v>0</v>
      </c>
      <c r="F325" s="22">
        <f t="shared" si="14"/>
        <v>7812.8176995000003</v>
      </c>
      <c r="G325" s="231">
        <f t="shared" si="15"/>
        <v>78.917350499999884</v>
      </c>
      <c r="H325" s="446"/>
      <c r="K325" s="237"/>
    </row>
    <row r="326" spans="1:11" ht="33" x14ac:dyDescent="0.25">
      <c r="A326" s="645" t="s">
        <v>772</v>
      </c>
      <c r="B326" s="491" t="str">
        <f>'целевые показатели'!B313</f>
        <v>Капитальный ремонт автомобильных дорог города Орла на улицах частной жилой застройки: ул. Деревообделочная</v>
      </c>
      <c r="C326" s="22">
        <f>'целевые показатели'!K313</f>
        <v>7891.7350500000002</v>
      </c>
      <c r="D326" s="22">
        <v>0</v>
      </c>
      <c r="E326" s="22">
        <v>0</v>
      </c>
      <c r="F326" s="22">
        <f t="shared" si="14"/>
        <v>7812.8176995000003</v>
      </c>
      <c r="G326" s="231">
        <f t="shared" si="15"/>
        <v>78.917350499999884</v>
      </c>
      <c r="H326" s="446"/>
      <c r="K326" s="237"/>
    </row>
    <row r="327" spans="1:11" ht="33" x14ac:dyDescent="0.25">
      <c r="A327" s="645" t="s">
        <v>773</v>
      </c>
      <c r="B327" s="491" t="str">
        <f>'целевые показатели'!B314</f>
        <v>Капитальный ремонт автомобильных дорог города Орла на улицах частной жилой застройки: ул. Шульгина 1 этап</v>
      </c>
      <c r="C327" s="22">
        <f>I327+J327</f>
        <v>0</v>
      </c>
      <c r="D327" s="22">
        <v>0</v>
      </c>
      <c r="E327" s="22">
        <v>0</v>
      </c>
      <c r="F327" s="22">
        <f t="shared" si="14"/>
        <v>0</v>
      </c>
      <c r="G327" s="231">
        <f t="shared" si="15"/>
        <v>0</v>
      </c>
      <c r="H327" s="446"/>
      <c r="I327" s="22"/>
      <c r="J327" s="22"/>
      <c r="K327" s="237"/>
    </row>
    <row r="328" spans="1:11" ht="33" x14ac:dyDescent="0.25">
      <c r="A328" s="645" t="s">
        <v>774</v>
      </c>
      <c r="B328" s="499" t="str">
        <f>'целевые показатели'!B315</f>
        <v>Капитальный ремонт автомобильных дорог города Орла на улицах частной жилой застройки: ул. Крестьянская</v>
      </c>
      <c r="C328" s="22">
        <f>'целевые показатели'!K315</f>
        <v>3724.8989435999997</v>
      </c>
      <c r="D328" s="22">
        <v>0</v>
      </c>
      <c r="E328" s="22">
        <v>0</v>
      </c>
      <c r="F328" s="22">
        <f t="shared" si="14"/>
        <v>3687.6499541639996</v>
      </c>
      <c r="G328" s="231">
        <f t="shared" si="15"/>
        <v>37.248989436000102</v>
      </c>
      <c r="H328" s="446"/>
      <c r="K328" s="237"/>
    </row>
    <row r="329" spans="1:11" ht="33" x14ac:dyDescent="0.25">
      <c r="A329" s="645" t="s">
        <v>775</v>
      </c>
      <c r="B329" s="491" t="str">
        <f>'целевые показатели'!B316</f>
        <v>Капитальный ремонт автомобильных дорог города Орла на улицах частной жилой застройки: пер. Смоленский</v>
      </c>
      <c r="C329" s="22">
        <f>'целевые показатели'!K316</f>
        <v>2706.8651221500004</v>
      </c>
      <c r="D329" s="22">
        <v>0</v>
      </c>
      <c r="E329" s="22">
        <v>0</v>
      </c>
      <c r="F329" s="22">
        <f t="shared" si="14"/>
        <v>2679.7964709285002</v>
      </c>
      <c r="G329" s="231">
        <f t="shared" si="15"/>
        <v>27.068651221500204</v>
      </c>
      <c r="H329" s="446"/>
      <c r="K329" s="237"/>
    </row>
    <row r="330" spans="1:11" ht="33" x14ac:dyDescent="0.25">
      <c r="A330" s="645" t="s">
        <v>776</v>
      </c>
      <c r="B330" s="491" t="str">
        <f>'целевые показатели'!B317</f>
        <v>Капитальный ремонт автомобильных дорог города Орла на улицах частной жилой застройки: ул. Текстильная</v>
      </c>
      <c r="C330" s="172">
        <f>'целевые показатели'!K317</f>
        <v>3582.8477427000003</v>
      </c>
      <c r="D330" s="22">
        <v>0</v>
      </c>
      <c r="E330" s="22">
        <v>0</v>
      </c>
      <c r="F330" s="22">
        <f>C330*0.99-0.00001</f>
        <v>3547.019255273</v>
      </c>
      <c r="G330" s="231">
        <f>C330-F330-0.00001</f>
        <v>35.828477427000252</v>
      </c>
      <c r="H330" s="446"/>
      <c r="K330" s="237"/>
    </row>
    <row r="331" spans="1:11" ht="33" x14ac:dyDescent="0.25">
      <c r="A331" s="645" t="s">
        <v>777</v>
      </c>
      <c r="B331" s="229" t="str">
        <f>'целевые показатели'!B318</f>
        <v>Капитальный ремонт автомобильных дорог города Орла на улицах частной жилой застройки: ул. Лазо</v>
      </c>
      <c r="C331" s="22">
        <f>2588.4891+6791.20452</f>
        <v>9379.69362</v>
      </c>
      <c r="D331" s="22">
        <v>0</v>
      </c>
      <c r="E331" s="22">
        <v>0</v>
      </c>
      <c r="F331" s="22">
        <f t="shared" si="14"/>
        <v>9285.8966837999997</v>
      </c>
      <c r="G331" s="231">
        <f t="shared" si="15"/>
        <v>93.796936200000346</v>
      </c>
      <c r="H331" s="446"/>
      <c r="K331" s="237"/>
    </row>
    <row r="332" spans="1:11" ht="33" x14ac:dyDescent="0.25">
      <c r="A332" s="645" t="s">
        <v>778</v>
      </c>
      <c r="B332" s="229" t="str">
        <f>'целевые показатели'!B398</f>
        <v>разработка проектно-сметной документации и проведение проверки достоверности сметной стоимости</v>
      </c>
      <c r="C332" s="22">
        <f>'целевые показатели'!K398</f>
        <v>3474.7584799999995</v>
      </c>
      <c r="D332" s="22">
        <v>0</v>
      </c>
      <c r="E332" s="22">
        <v>0</v>
      </c>
      <c r="F332" s="22">
        <v>0</v>
      </c>
      <c r="G332" s="328">
        <f t="shared" si="15"/>
        <v>3474.7584799999995</v>
      </c>
      <c r="H332" s="238"/>
      <c r="K332" s="237"/>
    </row>
    <row r="333" spans="1:11" ht="21" customHeight="1" x14ac:dyDescent="0.25">
      <c r="A333" s="762" t="s">
        <v>20</v>
      </c>
      <c r="B333" s="763"/>
      <c r="C333" s="763"/>
      <c r="D333" s="763"/>
      <c r="E333" s="763"/>
      <c r="F333" s="763"/>
      <c r="G333" s="764"/>
    </row>
    <row r="334" spans="1:11" x14ac:dyDescent="0.25">
      <c r="A334" s="410">
        <v>1</v>
      </c>
      <c r="B334" s="321" t="s">
        <v>44</v>
      </c>
      <c r="C334" s="313">
        <f>SUM(C336:C344)</f>
        <v>944090.9090937071</v>
      </c>
      <c r="D334" s="313">
        <f>SUM(D336:D344)</f>
        <v>0</v>
      </c>
      <c r="E334" s="313">
        <f>SUM(E336:E344)</f>
        <v>0</v>
      </c>
      <c r="F334" s="313">
        <f>SUM(F336:F344)</f>
        <v>934650.0000027701</v>
      </c>
      <c r="G334" s="411">
        <f>SUM(G336:G344)</f>
        <v>9390.4040404370426</v>
      </c>
      <c r="J334" s="237"/>
    </row>
    <row r="335" spans="1:11" x14ac:dyDescent="0.25">
      <c r="A335" s="228" t="s">
        <v>45</v>
      </c>
      <c r="B335" s="325" t="s">
        <v>22</v>
      </c>
      <c r="C335" s="22">
        <f>'целевые показатели'!L27</f>
        <v>699795.99539000005</v>
      </c>
      <c r="D335" s="22">
        <v>0</v>
      </c>
      <c r="E335" s="22">
        <v>0</v>
      </c>
      <c r="F335" s="22">
        <f>C335*0.99</f>
        <v>692798.03543610009</v>
      </c>
      <c r="G335" s="231">
        <f>C335-F335</f>
        <v>6997.959953899961</v>
      </c>
    </row>
    <row r="336" spans="1:11" x14ac:dyDescent="0.25">
      <c r="A336" s="240" t="s">
        <v>170</v>
      </c>
      <c r="B336" s="241" t="s">
        <v>167</v>
      </c>
      <c r="C336" s="242">
        <v>20000</v>
      </c>
      <c r="D336" s="243">
        <v>0</v>
      </c>
      <c r="E336" s="243">
        <v>0</v>
      </c>
      <c r="F336" s="243">
        <f>C336*0.99</f>
        <v>19800</v>
      </c>
      <c r="G336" s="244">
        <f>C336-F336</f>
        <v>200</v>
      </c>
    </row>
    <row r="337" spans="1:11" ht="31.5" x14ac:dyDescent="0.25">
      <c r="A337" s="240" t="s">
        <v>171</v>
      </c>
      <c r="B337" s="241" t="s">
        <v>176</v>
      </c>
      <c r="C337" s="242">
        <v>100873.39939999999</v>
      </c>
      <c r="D337" s="243">
        <v>0</v>
      </c>
      <c r="E337" s="243">
        <v>0</v>
      </c>
      <c r="F337" s="243">
        <f t="shared" ref="F337:F344" si="16">C337*0.99</f>
        <v>99864.665406</v>
      </c>
      <c r="G337" s="244">
        <f t="shared" ref="G337:G352" si="17">C337-F337</f>
        <v>1008.7339939999947</v>
      </c>
    </row>
    <row r="338" spans="1:11" ht="31.5" x14ac:dyDescent="0.25">
      <c r="A338" s="240" t="s">
        <v>172</v>
      </c>
      <c r="B338" s="241" t="s">
        <v>168</v>
      </c>
      <c r="C338" s="242">
        <v>4025.1717699999999</v>
      </c>
      <c r="D338" s="243">
        <v>0</v>
      </c>
      <c r="E338" s="243">
        <v>0</v>
      </c>
      <c r="F338" s="243">
        <f t="shared" si="16"/>
        <v>3984.9200523</v>
      </c>
      <c r="G338" s="244">
        <f t="shared" si="17"/>
        <v>40.251717699999972</v>
      </c>
    </row>
    <row r="339" spans="1:11" x14ac:dyDescent="0.25">
      <c r="A339" s="240" t="s">
        <v>173</v>
      </c>
      <c r="B339" s="241" t="s">
        <v>169</v>
      </c>
      <c r="C339" s="242">
        <v>609897.42422370717</v>
      </c>
      <c r="D339" s="243">
        <v>0</v>
      </c>
      <c r="E339" s="243">
        <v>0</v>
      </c>
      <c r="F339" s="243">
        <f t="shared" si="16"/>
        <v>603798.44998147013</v>
      </c>
      <c r="G339" s="244">
        <f t="shared" si="17"/>
        <v>6098.9742422370473</v>
      </c>
    </row>
    <row r="340" spans="1:11" x14ac:dyDescent="0.25">
      <c r="A340" s="437" t="s">
        <v>46</v>
      </c>
      <c r="B340" s="325" t="s">
        <v>23</v>
      </c>
      <c r="C340" s="22">
        <f>'целевые показатели'!L28</f>
        <v>77949.494949999993</v>
      </c>
      <c r="D340" s="22">
        <v>0</v>
      </c>
      <c r="E340" s="22">
        <v>0</v>
      </c>
      <c r="F340" s="22">
        <f t="shared" si="16"/>
        <v>77170.000000499989</v>
      </c>
      <c r="G340" s="231">
        <f t="shared" si="17"/>
        <v>779.49494950000371</v>
      </c>
    </row>
    <row r="341" spans="1:11" ht="16.5" x14ac:dyDescent="0.25">
      <c r="A341" s="228" t="s">
        <v>47</v>
      </c>
      <c r="B341" s="275" t="s">
        <v>184</v>
      </c>
      <c r="C341" s="22">
        <f>'целевые показатели'!L29</f>
        <v>116193.90360000001</v>
      </c>
      <c r="D341" s="22">
        <v>0</v>
      </c>
      <c r="E341" s="22">
        <v>0</v>
      </c>
      <c r="F341" s="22">
        <f t="shared" si="16"/>
        <v>115031.96456400001</v>
      </c>
      <c r="G341" s="231">
        <f t="shared" si="17"/>
        <v>1161.9390359999961</v>
      </c>
    </row>
    <row r="342" spans="1:11" ht="31.5" x14ac:dyDescent="0.25">
      <c r="A342" s="228" t="s">
        <v>48</v>
      </c>
      <c r="B342" s="18" t="s">
        <v>24</v>
      </c>
      <c r="C342" s="22">
        <f>'целевые показатели'!L30</f>
        <v>10101.0101</v>
      </c>
      <c r="D342" s="22">
        <v>0</v>
      </c>
      <c r="E342" s="22">
        <v>0</v>
      </c>
      <c r="F342" s="22">
        <f>C342*0.99</f>
        <v>9999.9999989999997</v>
      </c>
      <c r="G342" s="231">
        <f>C343-F343</f>
        <v>50.505050499999925</v>
      </c>
    </row>
    <row r="343" spans="1:11" ht="31.5" x14ac:dyDescent="0.25">
      <c r="A343" s="228" t="s">
        <v>49</v>
      </c>
      <c r="B343" s="344" t="s">
        <v>25</v>
      </c>
      <c r="C343" s="22">
        <f>'целевые показатели'!L32</f>
        <v>5050.5050499999998</v>
      </c>
      <c r="D343" s="22">
        <v>0</v>
      </c>
      <c r="E343" s="22">
        <v>0</v>
      </c>
      <c r="F343" s="22">
        <f t="shared" si="16"/>
        <v>4999.9999994999998</v>
      </c>
      <c r="G343" s="231">
        <f t="shared" si="17"/>
        <v>50.505050499999925</v>
      </c>
      <c r="I343" s="436"/>
      <c r="J343" s="447"/>
    </row>
    <row r="344" spans="1:11" ht="16.5" x14ac:dyDescent="0.25">
      <c r="A344" s="228" t="s">
        <v>188</v>
      </c>
      <c r="B344" s="229" t="s">
        <v>154</v>
      </c>
      <c r="C344" s="22">
        <f>'целевые показатели'!L33</f>
        <v>0</v>
      </c>
      <c r="D344" s="22">
        <v>0</v>
      </c>
      <c r="E344" s="22">
        <v>0</v>
      </c>
      <c r="F344" s="22">
        <f t="shared" si="16"/>
        <v>0</v>
      </c>
      <c r="G344" s="231">
        <f t="shared" si="17"/>
        <v>0</v>
      </c>
      <c r="I344" s="436"/>
      <c r="J344" s="447"/>
    </row>
    <row r="345" spans="1:11" ht="31.5" x14ac:dyDescent="0.25">
      <c r="A345" s="410">
        <v>2</v>
      </c>
      <c r="B345" s="321" t="s">
        <v>15</v>
      </c>
      <c r="C345" s="641">
        <f>SUM(C351:C352)</f>
        <v>1425</v>
      </c>
      <c r="D345" s="641">
        <f>SUM(D351:D352)</f>
        <v>0</v>
      </c>
      <c r="E345" s="641">
        <f>SUM(E351:E352)</f>
        <v>0</v>
      </c>
      <c r="F345" s="641">
        <f>SUM(F351:F352)</f>
        <v>0</v>
      </c>
      <c r="G345" s="642">
        <f>SUM(G351:G352)</f>
        <v>1425</v>
      </c>
    </row>
    <row r="346" spans="1:11" ht="16.5" hidden="1" x14ac:dyDescent="0.25">
      <c r="A346" s="228" t="s">
        <v>157</v>
      </c>
      <c r="B346" s="229" t="e">
        <f>'целевые показатели'!#REF!</f>
        <v>#REF!</v>
      </c>
      <c r="C346" s="468">
        <f>8500+174.2772</f>
        <v>8674.2772000000004</v>
      </c>
      <c r="D346" s="22">
        <v>0</v>
      </c>
      <c r="E346" s="22">
        <v>0</v>
      </c>
      <c r="F346" s="230">
        <f t="shared" ref="F346:F351" si="18">C346*0.99</f>
        <v>8587.5344280000008</v>
      </c>
      <c r="G346" s="429">
        <f>C346-F346</f>
        <v>86.742771999999604</v>
      </c>
    </row>
    <row r="347" spans="1:11" ht="16.5" hidden="1" x14ac:dyDescent="0.25">
      <c r="A347" s="228" t="s">
        <v>158</v>
      </c>
      <c r="B347" s="489" t="s">
        <v>672</v>
      </c>
      <c r="C347" s="468">
        <f>10300</f>
        <v>10300</v>
      </c>
      <c r="D347" s="22">
        <v>0</v>
      </c>
      <c r="E347" s="22">
        <v>0</v>
      </c>
      <c r="F347" s="230">
        <f t="shared" si="18"/>
        <v>10197</v>
      </c>
      <c r="G347" s="429">
        <f>C347-F347</f>
        <v>103</v>
      </c>
    </row>
    <row r="348" spans="1:11" ht="16.5" hidden="1" x14ac:dyDescent="0.25">
      <c r="A348" s="228" t="s">
        <v>159</v>
      </c>
      <c r="B348" s="489" t="s">
        <v>673</v>
      </c>
      <c r="C348" s="468">
        <v>8500</v>
      </c>
      <c r="D348" s="22">
        <v>0</v>
      </c>
      <c r="E348" s="22">
        <v>0</v>
      </c>
      <c r="F348" s="230">
        <f t="shared" si="18"/>
        <v>8415</v>
      </c>
      <c r="G348" s="429">
        <f>C348-F348</f>
        <v>85</v>
      </c>
    </row>
    <row r="349" spans="1:11" ht="16.5" hidden="1" x14ac:dyDescent="0.25">
      <c r="A349" s="228" t="s">
        <v>160</v>
      </c>
      <c r="B349" s="493" t="s">
        <v>686</v>
      </c>
      <c r="C349" s="468">
        <f>20041.45395+800.22982+12953.87347</f>
        <v>33795.557240000002</v>
      </c>
      <c r="D349" s="230">
        <v>0</v>
      </c>
      <c r="E349" s="230">
        <v>0</v>
      </c>
      <c r="F349" s="22">
        <f t="shared" si="18"/>
        <v>33457.6016676</v>
      </c>
      <c r="G349" s="231">
        <f>C349-F349</f>
        <v>337.95557240000198</v>
      </c>
    </row>
    <row r="350" spans="1:11" ht="33" hidden="1" x14ac:dyDescent="0.25">
      <c r="A350" s="228" t="s">
        <v>437</v>
      </c>
      <c r="B350" s="217" t="s">
        <v>780</v>
      </c>
      <c r="C350" s="468">
        <v>10275.92395</v>
      </c>
      <c r="D350" s="230">
        <v>0</v>
      </c>
      <c r="E350" s="230">
        <v>0</v>
      </c>
      <c r="F350" s="22">
        <f t="shared" si="18"/>
        <v>10173.164710500001</v>
      </c>
      <c r="G350" s="231">
        <f>C350-F350</f>
        <v>102.75923949999924</v>
      </c>
    </row>
    <row r="351" spans="1:11" hidden="1" x14ac:dyDescent="0.25">
      <c r="A351" s="228" t="s">
        <v>161</v>
      </c>
      <c r="B351" s="18" t="s">
        <v>26</v>
      </c>
      <c r="C351" s="22">
        <f>'целевые показатели'!L130</f>
        <v>0</v>
      </c>
      <c r="D351" s="22">
        <v>0</v>
      </c>
      <c r="E351" s="22">
        <v>0</v>
      </c>
      <c r="F351" s="230">
        <f t="shared" si="18"/>
        <v>0</v>
      </c>
      <c r="G351" s="231">
        <f t="shared" si="17"/>
        <v>0</v>
      </c>
      <c r="K351" s="448"/>
    </row>
    <row r="352" spans="1:11" ht="31.5" x14ac:dyDescent="0.25">
      <c r="A352" s="228" t="s">
        <v>157</v>
      </c>
      <c r="B352" s="18" t="s">
        <v>27</v>
      </c>
      <c r="C352" s="22">
        <f>'целевые показатели'!L131</f>
        <v>1425</v>
      </c>
      <c r="D352" s="22">
        <v>0</v>
      </c>
      <c r="E352" s="22">
        <v>0</v>
      </c>
      <c r="F352" s="22">
        <v>0</v>
      </c>
      <c r="G352" s="231">
        <f t="shared" si="17"/>
        <v>1425</v>
      </c>
    </row>
    <row r="353" spans="1:10" ht="94.5" x14ac:dyDescent="0.25">
      <c r="A353" s="410">
        <v>3</v>
      </c>
      <c r="B353" s="321" t="s">
        <v>426</v>
      </c>
      <c r="C353" s="643">
        <f>SUM(C354:C356)</f>
        <v>306061.30303000001</v>
      </c>
      <c r="D353" s="643">
        <f>SUM(D354:D356)</f>
        <v>0</v>
      </c>
      <c r="E353" s="643">
        <f>SUM(E354:E356)</f>
        <v>0</v>
      </c>
      <c r="F353" s="643">
        <f>SUM(F354:F356)</f>
        <v>299999.9999997</v>
      </c>
      <c r="G353" s="644">
        <f>SUM(G354:G356)</f>
        <v>6061.3030303000123</v>
      </c>
    </row>
    <row r="354" spans="1:10" ht="33" x14ac:dyDescent="0.25">
      <c r="A354" s="228" t="s">
        <v>68</v>
      </c>
      <c r="B354" s="275" t="s">
        <v>871</v>
      </c>
      <c r="C354" s="22">
        <f>'целевые показатели'!L158</f>
        <v>303030.30303000001</v>
      </c>
      <c r="D354" s="22">
        <v>0</v>
      </c>
      <c r="E354" s="22">
        <v>0</v>
      </c>
      <c r="F354" s="22">
        <f>C354*0.99</f>
        <v>299999.9999997</v>
      </c>
      <c r="G354" s="231">
        <f>C354-F354</f>
        <v>3030.3030303000123</v>
      </c>
    </row>
    <row r="355" spans="1:10" x14ac:dyDescent="0.25">
      <c r="A355" s="228" t="s">
        <v>71</v>
      </c>
      <c r="B355" s="18" t="s">
        <v>26</v>
      </c>
      <c r="C355" s="22">
        <v>0</v>
      </c>
      <c r="D355" s="22">
        <v>0</v>
      </c>
      <c r="E355" s="22">
        <v>0</v>
      </c>
      <c r="F355" s="22">
        <f>C355*0.99</f>
        <v>0</v>
      </c>
      <c r="G355" s="231">
        <f>C355-F355</f>
        <v>0</v>
      </c>
    </row>
    <row r="356" spans="1:10" ht="33" x14ac:dyDescent="0.25">
      <c r="A356" s="228" t="s">
        <v>72</v>
      </c>
      <c r="B356" s="229" t="s">
        <v>27</v>
      </c>
      <c r="C356" s="22">
        <f>'целевые показатели'!L160</f>
        <v>3031</v>
      </c>
      <c r="D356" s="22">
        <v>0</v>
      </c>
      <c r="E356" s="22">
        <v>0</v>
      </c>
      <c r="F356" s="22">
        <v>0</v>
      </c>
      <c r="G356" s="231">
        <f>C356-F356</f>
        <v>3031</v>
      </c>
      <c r="H356" s="238"/>
    </row>
    <row r="357" spans="1:10" ht="49.5" x14ac:dyDescent="0.25">
      <c r="A357" s="228">
        <v>4</v>
      </c>
      <c r="B357" s="398" t="s">
        <v>13</v>
      </c>
      <c r="C357" s="313">
        <f>SUM(C358:C360)</f>
        <v>2200</v>
      </c>
      <c r="D357" s="313">
        <f>SUM(D358:D360)</f>
        <v>0</v>
      </c>
      <c r="E357" s="313">
        <f>SUM(E358:E360)</f>
        <v>0</v>
      </c>
      <c r="F357" s="313">
        <f>SUM(F358:F360)</f>
        <v>0</v>
      </c>
      <c r="G357" s="411">
        <f>SUM(G358:G360)</f>
        <v>2200</v>
      </c>
    </row>
    <row r="358" spans="1:10" ht="33" x14ac:dyDescent="0.25">
      <c r="A358" s="228" t="s">
        <v>380</v>
      </c>
      <c r="B358" s="229" t="s">
        <v>146</v>
      </c>
      <c r="C358" s="22">
        <f>'целевые показатели'!L172</f>
        <v>150</v>
      </c>
      <c r="D358" s="22">
        <v>0</v>
      </c>
      <c r="E358" s="22">
        <v>0</v>
      </c>
      <c r="F358" s="22">
        <v>0</v>
      </c>
      <c r="G358" s="231">
        <f>C358-F358</f>
        <v>150</v>
      </c>
      <c r="H358" s="238"/>
    </row>
    <row r="359" spans="1:10" ht="33" x14ac:dyDescent="0.25">
      <c r="A359" s="228" t="s">
        <v>415</v>
      </c>
      <c r="B359" s="229" t="s">
        <v>147</v>
      </c>
      <c r="C359" s="22">
        <f>'целевые показатели'!L173</f>
        <v>150</v>
      </c>
      <c r="D359" s="22">
        <v>0</v>
      </c>
      <c r="E359" s="22">
        <v>0</v>
      </c>
      <c r="F359" s="22">
        <v>0</v>
      </c>
      <c r="G359" s="231">
        <f>C359-F359</f>
        <v>150</v>
      </c>
      <c r="H359" s="238"/>
    </row>
    <row r="360" spans="1:10" ht="16.5" x14ac:dyDescent="0.25">
      <c r="A360" s="228" t="s">
        <v>416</v>
      </c>
      <c r="B360" s="229" t="s">
        <v>319</v>
      </c>
      <c r="C360" s="22">
        <f>'целевые показатели'!L195</f>
        <v>1900</v>
      </c>
      <c r="D360" s="22">
        <v>0</v>
      </c>
      <c r="E360" s="22">
        <v>0</v>
      </c>
      <c r="F360" s="22">
        <v>0</v>
      </c>
      <c r="G360" s="231">
        <f>C360-F360</f>
        <v>1900</v>
      </c>
      <c r="H360" s="238"/>
    </row>
    <row r="361" spans="1:10" ht="110.25" x14ac:dyDescent="0.25">
      <c r="A361" s="410">
        <v>5</v>
      </c>
      <c r="B361" s="394" t="s">
        <v>427</v>
      </c>
      <c r="C361" s="313">
        <f>'целевые показатели'!L205</f>
        <v>23780.909100000001</v>
      </c>
      <c r="D361" s="313">
        <f>'целевые показатели'!L209</f>
        <v>23307.7</v>
      </c>
      <c r="E361" s="313">
        <v>0</v>
      </c>
      <c r="F361" s="313">
        <f>'целевые показатели'!L210</f>
        <v>235.4</v>
      </c>
      <c r="G361" s="411">
        <f>'целевые показатели'!L211</f>
        <v>237.8091</v>
      </c>
      <c r="H361" s="238"/>
    </row>
    <row r="362" spans="1:10" ht="66" x14ac:dyDescent="0.25">
      <c r="A362" s="228">
        <v>6</v>
      </c>
      <c r="B362" s="398" t="s">
        <v>11</v>
      </c>
      <c r="C362" s="313">
        <f>SUM(C363)</f>
        <v>25350</v>
      </c>
      <c r="D362" s="313">
        <f>SUM(D363)</f>
        <v>0</v>
      </c>
      <c r="E362" s="313">
        <f>SUM(E363)</f>
        <v>0</v>
      </c>
      <c r="F362" s="313">
        <f>SUM(F363)</f>
        <v>0</v>
      </c>
      <c r="G362" s="411">
        <f>SUM(G363)</f>
        <v>25350</v>
      </c>
      <c r="H362" s="238"/>
    </row>
    <row r="363" spans="1:10" ht="33" x14ac:dyDescent="0.25">
      <c r="A363" s="228" t="s">
        <v>186</v>
      </c>
      <c r="B363" s="229" t="s">
        <v>248</v>
      </c>
      <c r="C363" s="22">
        <f>'целевые показатели'!L222</f>
        <v>25350</v>
      </c>
      <c r="D363" s="22">
        <v>0</v>
      </c>
      <c r="E363" s="22">
        <v>0</v>
      </c>
      <c r="F363" s="22">
        <v>0</v>
      </c>
      <c r="G363" s="231">
        <f>'целевые показатели'!L230</f>
        <v>25350</v>
      </c>
      <c r="H363" s="238"/>
    </row>
    <row r="364" spans="1:10" ht="33" x14ac:dyDescent="0.25">
      <c r="A364" s="410">
        <v>7</v>
      </c>
      <c r="B364" s="398" t="s">
        <v>292</v>
      </c>
      <c r="C364" s="644">
        <f t="shared" ref="C364:F364" si="19">SUM(C365:C434)</f>
        <v>827698.72707082494</v>
      </c>
      <c r="D364" s="644">
        <f t="shared" si="19"/>
        <v>0</v>
      </c>
      <c r="E364" s="644">
        <f t="shared" si="19"/>
        <v>0</v>
      </c>
      <c r="F364" s="644">
        <f t="shared" si="19"/>
        <v>399119.20000311674</v>
      </c>
      <c r="G364" s="644">
        <f>SUM(G365:G434)</f>
        <v>428579.52710770827</v>
      </c>
      <c r="I364" s="245"/>
      <c r="J364" s="174"/>
    </row>
    <row r="365" spans="1:10" ht="16.5" x14ac:dyDescent="0.25">
      <c r="A365" s="410"/>
      <c r="B365" s="647" t="s">
        <v>870</v>
      </c>
      <c r="C365" s="172">
        <v>18500</v>
      </c>
      <c r="D365" s="172">
        <v>0</v>
      </c>
      <c r="E365" s="172">
        <v>0</v>
      </c>
      <c r="F365" s="172">
        <v>0</v>
      </c>
      <c r="G365" s="635">
        <f>C365</f>
        <v>18500</v>
      </c>
      <c r="I365" s="245"/>
      <c r="J365" s="174"/>
    </row>
    <row r="366" spans="1:10" ht="16.5" x14ac:dyDescent="0.25">
      <c r="A366" s="410"/>
      <c r="B366" s="647" t="s">
        <v>869</v>
      </c>
      <c r="C366" s="172">
        <v>48900</v>
      </c>
      <c r="D366" s="172">
        <v>0</v>
      </c>
      <c r="E366" s="172">
        <v>0</v>
      </c>
      <c r="F366" s="172">
        <v>0</v>
      </c>
      <c r="G366" s="635">
        <f t="shared" ref="G366:G368" si="20">C366</f>
        <v>48900</v>
      </c>
      <c r="I366" s="245"/>
      <c r="J366" s="174"/>
    </row>
    <row r="367" spans="1:10" ht="16.5" x14ac:dyDescent="0.25">
      <c r="A367" s="410"/>
      <c r="B367" s="647" t="s">
        <v>868</v>
      </c>
      <c r="C367" s="172">
        <v>23500</v>
      </c>
      <c r="D367" s="172">
        <v>0</v>
      </c>
      <c r="E367" s="172">
        <v>0</v>
      </c>
      <c r="F367" s="172">
        <v>0</v>
      </c>
      <c r="G367" s="635">
        <f t="shared" si="20"/>
        <v>23500</v>
      </c>
      <c r="I367" s="245"/>
      <c r="J367" s="174"/>
    </row>
    <row r="368" spans="1:10" ht="16.5" x14ac:dyDescent="0.25">
      <c r="A368" s="410"/>
      <c r="B368" s="491" t="s">
        <v>867</v>
      </c>
      <c r="C368" s="172">
        <v>8500</v>
      </c>
      <c r="D368" s="172">
        <v>0</v>
      </c>
      <c r="E368" s="172">
        <v>0</v>
      </c>
      <c r="F368" s="172">
        <v>0</v>
      </c>
      <c r="G368" s="635">
        <f t="shared" si="20"/>
        <v>8500</v>
      </c>
      <c r="I368" s="245"/>
      <c r="J368" s="174"/>
    </row>
    <row r="369" spans="1:10" ht="16.5" x14ac:dyDescent="0.25">
      <c r="A369" s="410"/>
      <c r="B369" s="491" t="s">
        <v>862</v>
      </c>
      <c r="C369" s="172">
        <v>22000</v>
      </c>
      <c r="D369" s="172">
        <f t="shared" ref="D369:E371" si="21">SUM(D374:D435)</f>
        <v>0</v>
      </c>
      <c r="E369" s="172">
        <f t="shared" si="21"/>
        <v>0</v>
      </c>
      <c r="F369" s="172">
        <v>0</v>
      </c>
      <c r="G369" s="635">
        <f>C369</f>
        <v>22000</v>
      </c>
      <c r="I369" s="245"/>
      <c r="J369" s="174"/>
    </row>
    <row r="370" spans="1:10" ht="16.5" x14ac:dyDescent="0.25">
      <c r="A370" s="410"/>
      <c r="B370" s="491" t="s">
        <v>863</v>
      </c>
      <c r="C370" s="172">
        <v>21000</v>
      </c>
      <c r="D370" s="172">
        <f t="shared" si="21"/>
        <v>0</v>
      </c>
      <c r="E370" s="172">
        <f t="shared" si="21"/>
        <v>0</v>
      </c>
      <c r="F370" s="172">
        <v>0</v>
      </c>
      <c r="G370" s="635">
        <f>C370</f>
        <v>21000</v>
      </c>
      <c r="I370" s="245"/>
      <c r="J370" s="174"/>
    </row>
    <row r="371" spans="1:10" ht="16.5" x14ac:dyDescent="0.25">
      <c r="A371" s="410"/>
      <c r="B371" s="491" t="s">
        <v>864</v>
      </c>
      <c r="C371" s="172">
        <v>35000</v>
      </c>
      <c r="D371" s="172">
        <f t="shared" si="21"/>
        <v>0</v>
      </c>
      <c r="E371" s="172">
        <f t="shared" si="21"/>
        <v>0</v>
      </c>
      <c r="F371" s="172">
        <v>0</v>
      </c>
      <c r="G371" s="635">
        <f>C371</f>
        <v>35000</v>
      </c>
      <c r="I371" s="245"/>
      <c r="J371" s="174"/>
    </row>
    <row r="372" spans="1:10" ht="16.5" x14ac:dyDescent="0.25">
      <c r="A372" s="410"/>
      <c r="B372" s="491" t="s">
        <v>633</v>
      </c>
      <c r="C372" s="172">
        <v>49800</v>
      </c>
      <c r="D372" s="22">
        <v>0</v>
      </c>
      <c r="E372" s="22">
        <v>0</v>
      </c>
      <c r="F372" s="22">
        <f t="shared" ref="F372" si="22">C372*0.99</f>
        <v>49302</v>
      </c>
      <c r="G372" s="231">
        <f t="shared" ref="G372" si="23">C372-F372</f>
        <v>498</v>
      </c>
      <c r="I372" s="245"/>
      <c r="J372" s="174"/>
    </row>
    <row r="373" spans="1:10" ht="132" x14ac:dyDescent="0.25">
      <c r="A373" s="494" t="s">
        <v>797</v>
      </c>
      <c r="B373" s="491" t="s">
        <v>789</v>
      </c>
      <c r="C373" s="327">
        <f>93054.01+82004.50589+11049.50411</f>
        <v>186108.02</v>
      </c>
      <c r="D373" s="327">
        <v>0</v>
      </c>
      <c r="E373" s="327">
        <v>0</v>
      </c>
      <c r="F373" s="327">
        <v>0</v>
      </c>
      <c r="G373" s="328">
        <f>C373-F373</f>
        <v>186108.02</v>
      </c>
      <c r="I373" s="245"/>
      <c r="J373" s="630"/>
    </row>
    <row r="374" spans="1:10" ht="49.5" x14ac:dyDescent="0.25">
      <c r="A374" s="494" t="s">
        <v>798</v>
      </c>
      <c r="B374" s="628" t="s">
        <v>858</v>
      </c>
      <c r="C374" s="477">
        <v>26320</v>
      </c>
      <c r="D374" s="634">
        <v>0</v>
      </c>
      <c r="E374" s="634">
        <v>0</v>
      </c>
      <c r="F374" s="172">
        <v>0</v>
      </c>
      <c r="G374" s="635">
        <f>C374-F374</f>
        <v>26320</v>
      </c>
      <c r="I374" s="245"/>
      <c r="J374" s="630"/>
    </row>
    <row r="375" spans="1:10" ht="16.5" x14ac:dyDescent="0.25">
      <c r="A375" s="494" t="s">
        <v>799</v>
      </c>
      <c r="B375" s="628" t="s">
        <v>859</v>
      </c>
      <c r="C375" s="477">
        <v>50290.852019999998</v>
      </c>
      <c r="D375" s="634">
        <v>0</v>
      </c>
      <c r="E375" s="634">
        <v>0</v>
      </c>
      <c r="F375" s="172">
        <f>C375*0.99</f>
        <v>49787.9434998</v>
      </c>
      <c r="G375" s="635">
        <f>C375-F375</f>
        <v>502.90852019999875</v>
      </c>
      <c r="I375" s="245"/>
      <c r="J375" s="630"/>
    </row>
    <row r="376" spans="1:10" ht="82.5" x14ac:dyDescent="0.25">
      <c r="A376" s="494" t="s">
        <v>800</v>
      </c>
      <c r="B376" s="628" t="s">
        <v>791</v>
      </c>
      <c r="C376" s="477">
        <f>69440/2</f>
        <v>34720</v>
      </c>
      <c r="D376" s="634">
        <v>0</v>
      </c>
      <c r="E376" s="634">
        <v>0</v>
      </c>
      <c r="F376" s="172">
        <v>0</v>
      </c>
      <c r="G376" s="635">
        <f t="shared" ref="G376" si="24">C376-F376</f>
        <v>34720</v>
      </c>
      <c r="I376" s="245"/>
      <c r="J376" s="630"/>
    </row>
    <row r="377" spans="1:10" ht="33" x14ac:dyDescent="0.25">
      <c r="A377" s="494" t="s">
        <v>801</v>
      </c>
      <c r="B377" s="491" t="str">
        <f>'целевые показатели'!B328</f>
        <v>Капитальный ремонт автомобильных дорог города Орла на улицах частной жилой застройки: пер. Кировский</v>
      </c>
      <c r="C377" s="22">
        <f>'по МК 56'!E74/1000</f>
        <v>2545.46108</v>
      </c>
      <c r="D377" s="22">
        <v>0</v>
      </c>
      <c r="E377" s="22">
        <v>0</v>
      </c>
      <c r="F377" s="22">
        <f>C377*0.99</f>
        <v>2520.0064692000001</v>
      </c>
      <c r="G377" s="231">
        <f t="shared" ref="G377:G434" si="25">C377-F377</f>
        <v>25.454610799999955</v>
      </c>
      <c r="J377" s="174"/>
    </row>
    <row r="378" spans="1:10" ht="33" x14ac:dyDescent="0.25">
      <c r="A378" s="494" t="s">
        <v>802</v>
      </c>
      <c r="B378" s="491" t="str">
        <f>'целевые показатели'!B329</f>
        <v>Капитальный ремонт автомобильных дорог города Орла на улицах частной жилой застройки: ул. Контактная</v>
      </c>
      <c r="C378" s="22">
        <f>'по МК 56'!E75/1000</f>
        <v>4245.7534599999999</v>
      </c>
      <c r="D378" s="22">
        <v>0</v>
      </c>
      <c r="E378" s="22">
        <v>0</v>
      </c>
      <c r="F378" s="22">
        <f t="shared" ref="F378:F434" si="26">C378*0.99</f>
        <v>4203.2959253999998</v>
      </c>
      <c r="G378" s="231">
        <f t="shared" si="25"/>
        <v>42.457534600000145</v>
      </c>
    </row>
    <row r="379" spans="1:10" ht="33" x14ac:dyDescent="0.25">
      <c r="A379" s="494" t="s">
        <v>803</v>
      </c>
      <c r="B379" s="229" t="str">
        <f>'целевые показатели'!B330</f>
        <v>Капитальный ремонт автомобильных дорог города Орла на улицах частной жилой застройки: пер. Тепловозный</v>
      </c>
      <c r="C379" s="22">
        <f>'целевые показатели'!L330</f>
        <v>1625.6974203</v>
      </c>
      <c r="D379" s="22">
        <v>0</v>
      </c>
      <c r="E379" s="22">
        <v>0</v>
      </c>
      <c r="F379" s="22">
        <f t="shared" si="26"/>
        <v>1609.4404460969999</v>
      </c>
      <c r="G379" s="231">
        <f t="shared" si="25"/>
        <v>16.256974203000027</v>
      </c>
    </row>
    <row r="380" spans="1:10" ht="33" x14ac:dyDescent="0.25">
      <c r="A380" s="494" t="s">
        <v>804</v>
      </c>
      <c r="B380" s="229" t="str">
        <f>'целевые показатели'!B331</f>
        <v>Капитальный ремонт автомобильных дорог города Орла на улицах частной жилой застройки: ул. Полтавская</v>
      </c>
      <c r="C380" s="22">
        <f>'целевые показатели'!L331</f>
        <v>1515.2131295999998</v>
      </c>
      <c r="D380" s="22">
        <v>0</v>
      </c>
      <c r="E380" s="22">
        <v>0</v>
      </c>
      <c r="F380" s="22">
        <f t="shared" si="26"/>
        <v>1500.0609983039997</v>
      </c>
      <c r="G380" s="231">
        <f t="shared" si="25"/>
        <v>15.152131296000107</v>
      </c>
    </row>
    <row r="381" spans="1:10" ht="33" x14ac:dyDescent="0.25">
      <c r="A381" s="494" t="s">
        <v>805</v>
      </c>
      <c r="B381" s="229" t="str">
        <f>'целевые показатели'!B332</f>
        <v>Капитальный ремонт автомобильных дорог города Орла на улицах частной жилой застройки: ул. Андриабужная</v>
      </c>
      <c r="C381" s="22">
        <f>'целевые показатели'!L332</f>
        <v>13415.949584999998</v>
      </c>
      <c r="D381" s="22">
        <v>0</v>
      </c>
      <c r="E381" s="22">
        <v>0</v>
      </c>
      <c r="F381" s="22">
        <f t="shared" si="26"/>
        <v>13281.790089149998</v>
      </c>
      <c r="G381" s="231">
        <f t="shared" si="25"/>
        <v>134.15949585000089</v>
      </c>
    </row>
    <row r="382" spans="1:10" ht="33" x14ac:dyDescent="0.25">
      <c r="A382" s="494" t="s">
        <v>806</v>
      </c>
      <c r="B382" s="229" t="str">
        <f>'целевые показатели'!B333</f>
        <v>Капитальный ремонт автомобильных дорог города Орла на улицах частной жилой застройки: пер. Самарский</v>
      </c>
      <c r="C382" s="22">
        <f>'целевые показатели'!L333</f>
        <v>1452.0792492</v>
      </c>
      <c r="D382" s="22">
        <v>0</v>
      </c>
      <c r="E382" s="22">
        <v>0</v>
      </c>
      <c r="F382" s="22">
        <f t="shared" si="26"/>
        <v>1437.558456708</v>
      </c>
      <c r="G382" s="231">
        <f t="shared" si="25"/>
        <v>14.520792492000055</v>
      </c>
    </row>
    <row r="383" spans="1:10" ht="33" x14ac:dyDescent="0.25">
      <c r="A383" s="494" t="s">
        <v>807</v>
      </c>
      <c r="B383" s="229" t="str">
        <f>'целевые показатели'!B334</f>
        <v>Капитальный ремонт автомобильных дорог города Орла на улицах частной жилой застройки: ул. Пришвина</v>
      </c>
      <c r="C383" s="22">
        <f>'целевые показатели'!L334</f>
        <v>2817.3494128500001</v>
      </c>
      <c r="D383" s="22">
        <v>0</v>
      </c>
      <c r="E383" s="22">
        <v>0</v>
      </c>
      <c r="F383" s="22">
        <f t="shared" si="26"/>
        <v>2789.1759187215002</v>
      </c>
      <c r="G383" s="231">
        <f t="shared" si="25"/>
        <v>28.173494128499897</v>
      </c>
    </row>
    <row r="384" spans="1:10" ht="33" x14ac:dyDescent="0.25">
      <c r="A384" s="494" t="s">
        <v>808</v>
      </c>
      <c r="B384" s="229" t="str">
        <f>'целевые показатели'!B335</f>
        <v>Капитальный ремонт автомобильных дорог города Орла на улицах частной жилой застройки: ул. Электровозная</v>
      </c>
      <c r="C384" s="22">
        <f>'целевые показатели'!L335</f>
        <v>6723.7582626000003</v>
      </c>
      <c r="D384" s="22">
        <v>0</v>
      </c>
      <c r="E384" s="22">
        <v>0</v>
      </c>
      <c r="F384" s="22">
        <f t="shared" si="26"/>
        <v>6656.5206799739999</v>
      </c>
      <c r="G384" s="231">
        <f t="shared" si="25"/>
        <v>67.237582626000403</v>
      </c>
    </row>
    <row r="385" spans="1:7" ht="33" x14ac:dyDescent="0.25">
      <c r="A385" s="494" t="s">
        <v>809</v>
      </c>
      <c r="B385" s="229" t="str">
        <f>'целевые показатели'!B336</f>
        <v>Капитальный ремонт автомобильных дорог города Орла на улицах частной жилой застройки: туп. Медведевский</v>
      </c>
      <c r="C385" s="22">
        <f>'целевые показатели'!L336</f>
        <v>1744.0734260499999</v>
      </c>
      <c r="D385" s="22">
        <v>0</v>
      </c>
      <c r="E385" s="22">
        <v>0</v>
      </c>
      <c r="F385" s="22">
        <f>C385*0.99+0.00001</f>
        <v>1726.6327017894998</v>
      </c>
      <c r="G385" s="231">
        <f>C385-F385+0.00001</f>
        <v>17.440734260500019</v>
      </c>
    </row>
    <row r="386" spans="1:7" ht="33" x14ac:dyDescent="0.25">
      <c r="A386" s="494" t="s">
        <v>810</v>
      </c>
      <c r="B386" s="229" t="str">
        <f>'целевые показатели'!B337</f>
        <v>Капитальный ремонт автомобильных дорог города Орла на улицах частной жилой застройки: пер. Торцовый</v>
      </c>
      <c r="C386" s="22">
        <f>'целевые показатели'!L337</f>
        <v>2328.0618397499998</v>
      </c>
      <c r="D386" s="22">
        <v>0</v>
      </c>
      <c r="E386" s="22">
        <v>0</v>
      </c>
      <c r="F386" s="22">
        <f t="shared" si="26"/>
        <v>2304.7812213524999</v>
      </c>
      <c r="G386" s="231">
        <f t="shared" si="25"/>
        <v>23.280618397499893</v>
      </c>
    </row>
    <row r="387" spans="1:7" ht="33" x14ac:dyDescent="0.25">
      <c r="A387" s="494" t="s">
        <v>811</v>
      </c>
      <c r="B387" s="229" t="str">
        <f>'целевые показатели'!B338</f>
        <v>Капитальный ремонт автомобильных дорог города Орла на улицах частной жилой застройки: пер. Шахматный</v>
      </c>
      <c r="C387" s="22">
        <f>'целевые показатели'!L338</f>
        <v>1815.0990614999998</v>
      </c>
      <c r="D387" s="22">
        <v>0</v>
      </c>
      <c r="E387" s="22">
        <v>0</v>
      </c>
      <c r="F387" s="22">
        <f t="shared" si="26"/>
        <v>1796.9480708849999</v>
      </c>
      <c r="G387" s="231">
        <f t="shared" si="25"/>
        <v>18.150990614999955</v>
      </c>
    </row>
    <row r="388" spans="1:7" ht="33" x14ac:dyDescent="0.25">
      <c r="A388" s="494" t="s">
        <v>812</v>
      </c>
      <c r="B388" s="229" t="str">
        <f>'целевые показатели'!B339</f>
        <v>Капитальный ремонт автомобильных дорог города Орла на улицах частной жилой застройки: проезд Парковый</v>
      </c>
      <c r="C388" s="22">
        <f>'целевые показатели'!L339</f>
        <v>1972.9337625000001</v>
      </c>
      <c r="D388" s="22">
        <v>0</v>
      </c>
      <c r="E388" s="22">
        <v>0</v>
      </c>
      <c r="F388" s="22">
        <f t="shared" si="26"/>
        <v>1953.2044248750001</v>
      </c>
      <c r="G388" s="231">
        <f t="shared" si="25"/>
        <v>19.729337624999971</v>
      </c>
    </row>
    <row r="389" spans="1:7" ht="33" x14ac:dyDescent="0.25">
      <c r="A389" s="494" t="s">
        <v>813</v>
      </c>
      <c r="B389" s="229" t="str">
        <f>'целевые показатели'!B340</f>
        <v>Капитальный ремонт автомобильных дорог города Орла на улицах частной жилой застройки: пер. Прядильный</v>
      </c>
      <c r="C389" s="22">
        <f>'целевые показатели'!L340</f>
        <v>1530.9965996999999</v>
      </c>
      <c r="D389" s="22">
        <v>0</v>
      </c>
      <c r="E389" s="22">
        <v>0</v>
      </c>
      <c r="F389" s="22">
        <f t="shared" si="26"/>
        <v>1515.6866337029999</v>
      </c>
      <c r="G389" s="231">
        <f t="shared" si="25"/>
        <v>15.309965997000063</v>
      </c>
    </row>
    <row r="390" spans="1:7" ht="33" x14ac:dyDescent="0.25">
      <c r="A390" s="494" t="s">
        <v>814</v>
      </c>
      <c r="B390" s="229" t="str">
        <f>'целевые показатели'!B341</f>
        <v>Капитальный ремонт автомобильных дорог города Орла на улицах частной жилой застройки: пер. Локомотивный</v>
      </c>
      <c r="C390" s="22">
        <f>'целевые показатели'!L341</f>
        <v>2391.1957201499999</v>
      </c>
      <c r="D390" s="22">
        <v>0</v>
      </c>
      <c r="E390" s="22">
        <v>0</v>
      </c>
      <c r="F390" s="22">
        <f t="shared" si="26"/>
        <v>2367.2837629484998</v>
      </c>
      <c r="G390" s="231">
        <f t="shared" si="25"/>
        <v>23.911957201500172</v>
      </c>
    </row>
    <row r="391" spans="1:7" ht="33" x14ac:dyDescent="0.25">
      <c r="A391" s="494" t="s">
        <v>815</v>
      </c>
      <c r="B391" s="229" t="str">
        <f>'целевые показатели'!B342</f>
        <v>Капитальный ремонт автомобильных дорог города Орла на улицах частной жилой застройки: пер. Вагонный</v>
      </c>
      <c r="C391" s="22">
        <f>'целевые показатели'!L342</f>
        <v>1412.6206039499998</v>
      </c>
      <c r="D391" s="22">
        <v>0</v>
      </c>
      <c r="E391" s="22">
        <v>0</v>
      </c>
      <c r="F391" s="22">
        <f>C391*0.99-0.00001</f>
        <v>1398.4943879104999</v>
      </c>
      <c r="G391" s="231">
        <f>C391-F391-0.00001</f>
        <v>14.126206039499923</v>
      </c>
    </row>
    <row r="392" spans="1:7" ht="33" x14ac:dyDescent="0.25">
      <c r="A392" s="494" t="s">
        <v>816</v>
      </c>
      <c r="B392" s="229" t="str">
        <f>'целевые показатели'!B343</f>
        <v>Капитальный ремонт автомобильных дорог города Орла на улицах частной жилой застройки: пер. Бригадный</v>
      </c>
      <c r="C392" s="22">
        <f>'целевые показатели'!L343</f>
        <v>1680.9395656500001</v>
      </c>
      <c r="D392" s="22">
        <v>0</v>
      </c>
      <c r="E392" s="22">
        <v>0</v>
      </c>
      <c r="F392" s="22">
        <f t="shared" si="26"/>
        <v>1664.1301699935</v>
      </c>
      <c r="G392" s="231">
        <f t="shared" si="25"/>
        <v>16.809395656500101</v>
      </c>
    </row>
    <row r="393" spans="1:7" ht="33" x14ac:dyDescent="0.25">
      <c r="A393" s="494" t="s">
        <v>817</v>
      </c>
      <c r="B393" s="229" t="str">
        <f>'целевые показатели'!B344</f>
        <v>Капитальный ремонт автомобильных дорог города Орла на улицах частной жилой застройки: пер. Хлебный</v>
      </c>
      <c r="C393" s="22">
        <f>'целевые показатели'!L344</f>
        <v>3961.6509950999994</v>
      </c>
      <c r="D393" s="22">
        <v>0</v>
      </c>
      <c r="E393" s="22">
        <v>0</v>
      </c>
      <c r="F393" s="22">
        <f t="shared" si="26"/>
        <v>3922.0344851489995</v>
      </c>
      <c r="G393" s="231">
        <f t="shared" si="25"/>
        <v>39.616509950999898</v>
      </c>
    </row>
    <row r="394" spans="1:7" ht="33" x14ac:dyDescent="0.25">
      <c r="A394" s="494" t="s">
        <v>818</v>
      </c>
      <c r="B394" s="229" t="str">
        <f>'целевые показатели'!B345</f>
        <v>Капитальный ремонт автомобильных дорог города Орла на улицах частной жилой застройки: пер. Тупиковый</v>
      </c>
      <c r="C394" s="22">
        <f>'целевые показатели'!L345</f>
        <v>1388.9453688000001</v>
      </c>
      <c r="D394" s="22">
        <v>0</v>
      </c>
      <c r="E394" s="22">
        <v>0</v>
      </c>
      <c r="F394" s="22">
        <f t="shared" si="26"/>
        <v>1375.0559151120001</v>
      </c>
      <c r="G394" s="231">
        <f t="shared" si="25"/>
        <v>13.889453688000003</v>
      </c>
    </row>
    <row r="395" spans="1:7" ht="33" x14ac:dyDescent="0.25">
      <c r="A395" s="494" t="s">
        <v>819</v>
      </c>
      <c r="B395" s="229" t="str">
        <f>'целевые показатели'!B346</f>
        <v xml:space="preserve">Капитальный ремонт автомобильных дорог города Орла на улицах частной жилой застройки: ул. Медведева </v>
      </c>
      <c r="C395" s="22">
        <f>'целевые показатели'!L346</f>
        <v>8704.5837601499989</v>
      </c>
      <c r="D395" s="22">
        <v>0</v>
      </c>
      <c r="E395" s="22">
        <v>0</v>
      </c>
      <c r="F395" s="22">
        <f t="shared" si="26"/>
        <v>8617.5379225484994</v>
      </c>
      <c r="G395" s="231">
        <f t="shared" si="25"/>
        <v>87.045837601499443</v>
      </c>
    </row>
    <row r="396" spans="1:7" ht="33" x14ac:dyDescent="0.25">
      <c r="A396" s="494" t="s">
        <v>820</v>
      </c>
      <c r="B396" s="229" t="str">
        <f>'целевые показатели'!B347</f>
        <v>Капитальный ремонт автомобильных дорог города Орла на улицах частной жилой застройки: ул. Ново-Прядильная</v>
      </c>
      <c r="C396" s="22">
        <f>'целевые показатели'!L347</f>
        <v>3740.6824136999999</v>
      </c>
      <c r="D396" s="22">
        <v>0</v>
      </c>
      <c r="E396" s="22">
        <v>0</v>
      </c>
      <c r="F396" s="22">
        <f t="shared" si="26"/>
        <v>3703.2755895629998</v>
      </c>
      <c r="G396" s="231">
        <f t="shared" si="25"/>
        <v>37.406824137000058</v>
      </c>
    </row>
    <row r="397" spans="1:7" ht="33" x14ac:dyDescent="0.25">
      <c r="A397" s="494" t="s">
        <v>821</v>
      </c>
      <c r="B397" s="229" t="str">
        <f>'целевые показатели'!B348</f>
        <v>Капитальный ремонт автомобильных дорог города Орла на улицах частной жилой застройки: пер. Пожарный</v>
      </c>
      <c r="C397" s="22">
        <f>'целевые показатели'!L348</f>
        <v>1720.3982408999998</v>
      </c>
      <c r="D397" s="22">
        <v>0</v>
      </c>
      <c r="E397" s="22">
        <v>0</v>
      </c>
      <c r="F397" s="22">
        <f t="shared" si="26"/>
        <v>1703.1942584909998</v>
      </c>
      <c r="G397" s="231">
        <f t="shared" si="25"/>
        <v>17.203982408999991</v>
      </c>
    </row>
    <row r="398" spans="1:7" ht="33" x14ac:dyDescent="0.25">
      <c r="A398" s="494" t="s">
        <v>822</v>
      </c>
      <c r="B398" s="229" t="str">
        <f>'целевые показатели'!B349</f>
        <v>Капитальный ремонт автомобильных дорог города Орла на улицах частной жилой застройки: ул. Белинского</v>
      </c>
      <c r="C398" s="22">
        <f>'целевые показатели'!L349</f>
        <v>5492.647624799999</v>
      </c>
      <c r="D398" s="22">
        <v>0</v>
      </c>
      <c r="E398" s="22">
        <v>0</v>
      </c>
      <c r="F398" s="22">
        <f>C398*0.99-0.00001</f>
        <v>5437.7211385519995</v>
      </c>
      <c r="G398" s="231">
        <f>C398-F398-0.00001</f>
        <v>54.926476247999489</v>
      </c>
    </row>
    <row r="399" spans="1:7" ht="33" x14ac:dyDescent="0.25">
      <c r="A399" s="494" t="s">
        <v>823</v>
      </c>
      <c r="B399" s="229" t="str">
        <f>'целевые показатели'!B350</f>
        <v>Капитальный ремонт автомобильных дорог города Орла на улицах частной жилой застройки: пер. Культурный</v>
      </c>
      <c r="C399" s="22">
        <f>'целевые показатели'!L350</f>
        <v>5768.8583215499993</v>
      </c>
      <c r="D399" s="22">
        <v>0</v>
      </c>
      <c r="E399" s="22">
        <v>0</v>
      </c>
      <c r="F399" s="22">
        <f t="shared" si="26"/>
        <v>5711.169738334499</v>
      </c>
      <c r="G399" s="231">
        <f t="shared" si="25"/>
        <v>57.68858321550033</v>
      </c>
    </row>
    <row r="400" spans="1:7" ht="33" x14ac:dyDescent="0.25">
      <c r="A400" s="494" t="s">
        <v>824</v>
      </c>
      <c r="B400" s="229" t="str">
        <f>'целевые показатели'!B351</f>
        <v>Капитальный ремонт автомобильных дорог города Орла на улицах частной жилой застройки: ул.Заводская</v>
      </c>
      <c r="C400" s="22">
        <f>'целевые показатели'!L351</f>
        <v>5989.8269029499997</v>
      </c>
      <c r="D400" s="22">
        <v>0</v>
      </c>
      <c r="E400" s="22">
        <v>0</v>
      </c>
      <c r="F400" s="22">
        <f t="shared" si="26"/>
        <v>5929.9286339205</v>
      </c>
      <c r="G400" s="231">
        <f t="shared" si="25"/>
        <v>59.898269029499716</v>
      </c>
    </row>
    <row r="401" spans="1:7" ht="33" x14ac:dyDescent="0.25">
      <c r="A401" s="494" t="s">
        <v>825</v>
      </c>
      <c r="B401" s="229" t="str">
        <f>'целевые показатели'!B352</f>
        <v>Капитальный ремонт автомобильных дорог города Орла на улицах частной жилой застройки: ул. 1 Пушкарная</v>
      </c>
      <c r="C401" s="22">
        <f>'целевые показатели'!L352</f>
        <v>11837.602574999999</v>
      </c>
      <c r="D401" s="22">
        <v>0</v>
      </c>
      <c r="E401" s="22">
        <v>0</v>
      </c>
      <c r="F401" s="22">
        <f t="shared" si="26"/>
        <v>11719.226549249999</v>
      </c>
      <c r="G401" s="231">
        <f t="shared" si="25"/>
        <v>118.37602574999983</v>
      </c>
    </row>
    <row r="402" spans="1:7" ht="33" x14ac:dyDescent="0.25">
      <c r="A402" s="494" t="s">
        <v>826</v>
      </c>
      <c r="B402" s="229" t="str">
        <f>'целевые показатели'!B353</f>
        <v>Капитальный ремонт автомобильных дорог города Орла на улицах частной жилой застройки: ул. 2 Пушкарная</v>
      </c>
      <c r="C402" s="22">
        <f>'целевые показатели'!L353</f>
        <v>9470.0820600000006</v>
      </c>
      <c r="D402" s="22">
        <v>0</v>
      </c>
      <c r="E402" s="22">
        <v>0</v>
      </c>
      <c r="F402" s="22">
        <f t="shared" si="26"/>
        <v>9375.3812393999997</v>
      </c>
      <c r="G402" s="231">
        <f t="shared" si="25"/>
        <v>94.700820600000952</v>
      </c>
    </row>
    <row r="403" spans="1:7" ht="33" x14ac:dyDescent="0.25">
      <c r="A403" s="494" t="s">
        <v>827</v>
      </c>
      <c r="B403" s="229" t="str">
        <f>'целевые показатели'!B354</f>
        <v>Капитальный ремонт автомобильных дорог города Орла на улицах частной жилой застройки: ул. Зеленый Берег</v>
      </c>
      <c r="C403" s="22">
        <f>'целевые показатели'!L354</f>
        <v>11048.429069999998</v>
      </c>
      <c r="D403" s="22">
        <v>0</v>
      </c>
      <c r="E403" s="22">
        <v>0</v>
      </c>
      <c r="F403" s="22">
        <f t="shared" si="26"/>
        <v>10937.944779299998</v>
      </c>
      <c r="G403" s="231">
        <f t="shared" si="25"/>
        <v>110.4842907000002</v>
      </c>
    </row>
    <row r="404" spans="1:7" ht="33" x14ac:dyDescent="0.25">
      <c r="A404" s="494" t="s">
        <v>828</v>
      </c>
      <c r="B404" s="229" t="str">
        <f>'целевые показатели'!B355</f>
        <v>Капитальный ремонт автомобильных дорог города Орла на улицах частной жилой застройки: наб. Есенина</v>
      </c>
      <c r="C404" s="22">
        <f>'целевые показатели'!L355</f>
        <v>6400.1971055500007</v>
      </c>
      <c r="D404" s="22">
        <v>0</v>
      </c>
      <c r="E404" s="22">
        <v>0</v>
      </c>
      <c r="F404" s="22">
        <f t="shared" si="26"/>
        <v>6336.195134494501</v>
      </c>
      <c r="G404" s="231">
        <f>C404-F404+0.00001</f>
        <v>64.001981055499783</v>
      </c>
    </row>
    <row r="405" spans="1:7" ht="33" x14ac:dyDescent="0.25">
      <c r="A405" s="494" t="s">
        <v>829</v>
      </c>
      <c r="B405" s="229" t="str">
        <f>'целевые показатели'!B356</f>
        <v>Капитальный ремонт автомобильных дорог города Орла на улицах частной жилой застройки: ул. Чапаева</v>
      </c>
      <c r="C405" s="22">
        <f>'целевые показатели'!L356</f>
        <v>8680.908555</v>
      </c>
      <c r="D405" s="22">
        <v>0</v>
      </c>
      <c r="E405" s="22">
        <v>0</v>
      </c>
      <c r="F405" s="22">
        <f t="shared" si="26"/>
        <v>8594.0994694500005</v>
      </c>
      <c r="G405" s="231">
        <f t="shared" si="25"/>
        <v>86.809085549999509</v>
      </c>
    </row>
    <row r="406" spans="1:7" ht="33" x14ac:dyDescent="0.25">
      <c r="A406" s="494" t="s">
        <v>830</v>
      </c>
      <c r="B406" s="229" t="str">
        <f>'целевые показатели'!B357</f>
        <v>Капитальный ремонт автомобильных дорог города Орла на улицах частной жилой застройки:ул. Садово-Пушкарная</v>
      </c>
      <c r="C406" s="22">
        <f>'целевые показатели'!L357</f>
        <v>17756.403862499996</v>
      </c>
      <c r="D406" s="22">
        <v>0</v>
      </c>
      <c r="E406" s="22">
        <v>0</v>
      </c>
      <c r="F406" s="22">
        <f t="shared" si="26"/>
        <v>17578.839823874994</v>
      </c>
      <c r="G406" s="231">
        <f t="shared" si="25"/>
        <v>177.56403862500156</v>
      </c>
    </row>
    <row r="407" spans="1:7" ht="33" x14ac:dyDescent="0.25">
      <c r="A407" s="494" t="s">
        <v>831</v>
      </c>
      <c r="B407" s="229" t="str">
        <f>'целевые показатели'!B358</f>
        <v>Капитальный ремонт автомобильных дорог города Орла на улицах частной жилой застройки: ул. Панчука</v>
      </c>
      <c r="C407" s="22">
        <f>'целевые показатели'!L358</f>
        <v>16572.643604999997</v>
      </c>
      <c r="D407" s="22">
        <v>0</v>
      </c>
      <c r="E407" s="22">
        <v>0</v>
      </c>
      <c r="F407" s="22">
        <f t="shared" si="26"/>
        <v>16406.917168949996</v>
      </c>
      <c r="G407" s="231">
        <f t="shared" si="25"/>
        <v>165.72643605000121</v>
      </c>
    </row>
    <row r="408" spans="1:7" ht="33" x14ac:dyDescent="0.25">
      <c r="A408" s="494" t="s">
        <v>832</v>
      </c>
      <c r="B408" s="229" t="str">
        <f>'целевые показатели'!B359</f>
        <v>Капитальный ремонт автомобильных дорог города Орла на улицах частной жилой застройки: ул. Достоевского</v>
      </c>
      <c r="C408" s="22">
        <f>'целевые показатели'!L359</f>
        <v>11837.602574999999</v>
      </c>
      <c r="D408" s="22">
        <v>0</v>
      </c>
      <c r="E408" s="22">
        <v>0</v>
      </c>
      <c r="F408" s="22">
        <f t="shared" si="26"/>
        <v>11719.226549249999</v>
      </c>
      <c r="G408" s="231">
        <f t="shared" si="25"/>
        <v>118.37602574999983</v>
      </c>
    </row>
    <row r="409" spans="1:7" ht="33" x14ac:dyDescent="0.25">
      <c r="A409" s="494" t="s">
        <v>833</v>
      </c>
      <c r="B409" s="229" t="str">
        <f>'целевые показатели'!B360</f>
        <v>Капитальный ремонт автомобильных дорог города Орла на улицах частной жилой застройки: ул. Циолковского</v>
      </c>
      <c r="C409" s="22">
        <f>'целевые показатели'!L360</f>
        <v>8680.908555</v>
      </c>
      <c r="D409" s="22">
        <v>0</v>
      </c>
      <c r="E409" s="22">
        <v>0</v>
      </c>
      <c r="F409" s="22">
        <f t="shared" si="26"/>
        <v>8594.0994694500005</v>
      </c>
      <c r="G409" s="231">
        <f t="shared" si="25"/>
        <v>86.809085549999509</v>
      </c>
    </row>
    <row r="410" spans="1:7" ht="33" x14ac:dyDescent="0.25">
      <c r="A410" s="494" t="s">
        <v>834</v>
      </c>
      <c r="B410" s="229" t="str">
        <f>'целевые показатели'!B361</f>
        <v>Капитальный ремонт автомобильных дорог города Орла на улицах частной жилой застройки: ул. Андреева</v>
      </c>
      <c r="C410" s="22">
        <f>'целевые показатели'!L361</f>
        <v>6285.7669673250002</v>
      </c>
      <c r="D410" s="22">
        <v>0</v>
      </c>
      <c r="E410" s="22">
        <v>0</v>
      </c>
      <c r="F410" s="22">
        <f t="shared" si="26"/>
        <v>6222.9092976517504</v>
      </c>
      <c r="G410" s="231">
        <f t="shared" si="25"/>
        <v>62.857669673249802</v>
      </c>
    </row>
    <row r="411" spans="1:7" ht="33" x14ac:dyDescent="0.25">
      <c r="A411" s="494" t="s">
        <v>835</v>
      </c>
      <c r="B411" s="229" t="str">
        <f>'целевые показатели'!B362</f>
        <v>Капитальный ремонт автомобильных дорог города Орла на улицах частной жилой застройки: ул. Спивака</v>
      </c>
      <c r="C411" s="22">
        <f>'целевые показатели'!L362</f>
        <v>16572.643604999997</v>
      </c>
      <c r="D411" s="22">
        <v>0</v>
      </c>
      <c r="E411" s="22">
        <v>0</v>
      </c>
      <c r="F411" s="22">
        <f t="shared" si="26"/>
        <v>16406.917168949996</v>
      </c>
      <c r="G411" s="231">
        <f t="shared" si="25"/>
        <v>165.72643605000121</v>
      </c>
    </row>
    <row r="412" spans="1:7" ht="33" x14ac:dyDescent="0.25">
      <c r="A412" s="494" t="s">
        <v>836</v>
      </c>
      <c r="B412" s="229" t="str">
        <f>'целевые показатели'!B363</f>
        <v>Капитальный ремонт автомобильных дорог города Орла на улицах частной жилой застройки: ул. Чайкиной</v>
      </c>
      <c r="C412" s="22">
        <f>'целевые показатели'!L363</f>
        <v>2825.2411478999998</v>
      </c>
      <c r="D412" s="22">
        <v>0</v>
      </c>
      <c r="E412" s="22">
        <v>0</v>
      </c>
      <c r="F412" s="22">
        <f t="shared" si="26"/>
        <v>2796.9887364209999</v>
      </c>
      <c r="G412" s="231">
        <f t="shared" si="25"/>
        <v>28.252411478999875</v>
      </c>
    </row>
    <row r="413" spans="1:7" ht="33" x14ac:dyDescent="0.25">
      <c r="A413" s="494" t="s">
        <v>837</v>
      </c>
      <c r="B413" s="229" t="str">
        <f>'целевые показатели'!B364</f>
        <v>Капитальный ремонт автомобильных дорог города Орла на улицах частной жилой застройки: ул. Земнухова</v>
      </c>
      <c r="C413" s="22">
        <f>'целевые показатели'!L364</f>
        <v>2888.3750282999999</v>
      </c>
      <c r="D413" s="22">
        <v>0</v>
      </c>
      <c r="E413" s="22">
        <v>0</v>
      </c>
      <c r="F413" s="22">
        <f t="shared" si="26"/>
        <v>2859.4912780169998</v>
      </c>
      <c r="G413" s="231">
        <f t="shared" si="25"/>
        <v>28.883750283000154</v>
      </c>
    </row>
    <row r="414" spans="1:7" ht="33" x14ac:dyDescent="0.25">
      <c r="A414" s="494" t="s">
        <v>838</v>
      </c>
      <c r="B414" s="229" t="str">
        <f>'целевые показатели'!B365</f>
        <v>Капитальный ремонт автомобильных дорог города Орла на улицах частной жилой застройки: ул. Кошевого</v>
      </c>
      <c r="C414" s="22">
        <f>'целевые показатели'!L365</f>
        <v>2919.9419684999998</v>
      </c>
      <c r="D414" s="22">
        <v>0</v>
      </c>
      <c r="E414" s="22">
        <v>0</v>
      </c>
      <c r="F414" s="22">
        <f t="shared" si="26"/>
        <v>2890.7425488149997</v>
      </c>
      <c r="G414" s="231">
        <f t="shared" si="25"/>
        <v>29.199419685000066</v>
      </c>
    </row>
    <row r="415" spans="1:7" ht="33" x14ac:dyDescent="0.25">
      <c r="A415" s="494" t="s">
        <v>839</v>
      </c>
      <c r="B415" s="229" t="str">
        <f>'целевые показатели'!B366</f>
        <v>Капитальный ремонт автомобильных дорог города Орла на улицах частной жилой застройки: ул. Тюленина</v>
      </c>
      <c r="C415" s="22">
        <f>'целевые показатели'!L366</f>
        <v>3638.0898580499997</v>
      </c>
      <c r="D415" s="22">
        <v>0</v>
      </c>
      <c r="E415" s="22">
        <v>0</v>
      </c>
      <c r="F415" s="22">
        <f t="shared" si="26"/>
        <v>3601.7089594694999</v>
      </c>
      <c r="G415" s="231">
        <f t="shared" si="25"/>
        <v>36.380898580499888</v>
      </c>
    </row>
    <row r="416" spans="1:7" ht="33" x14ac:dyDescent="0.25">
      <c r="A416" s="494" t="s">
        <v>840</v>
      </c>
      <c r="B416" s="229" t="str">
        <f>'целевые показатели'!B367</f>
        <v>Капитальный ремонт автомобильных дорог города Орла на улицах частной жилой застройки: ул. Громовой</v>
      </c>
      <c r="C416" s="22">
        <f>'целевые показатели'!L367</f>
        <v>2272.8197144000001</v>
      </c>
      <c r="D416" s="22">
        <v>0</v>
      </c>
      <c r="E416" s="22">
        <v>0</v>
      </c>
      <c r="F416" s="22">
        <f>C416*0.99-0.000007</f>
        <v>2250.0915102559998</v>
      </c>
      <c r="G416" s="231">
        <f t="shared" si="25"/>
        <v>22.728204144000301</v>
      </c>
    </row>
    <row r="417" spans="1:7" ht="33" x14ac:dyDescent="0.25">
      <c r="A417" s="494" t="s">
        <v>841</v>
      </c>
      <c r="B417" s="229" t="str">
        <f>'целевые показатели'!B368</f>
        <v>Капитальный ремонт автомобильных дорог города Орла на улицах частной жилой застройки: пер. Шевцовой</v>
      </c>
      <c r="C417" s="22">
        <f>'целевые показатели'!L368</f>
        <v>2706.8651221500004</v>
      </c>
      <c r="D417" s="22">
        <v>0</v>
      </c>
      <c r="E417" s="22">
        <v>0</v>
      </c>
      <c r="F417" s="22">
        <f t="shared" si="26"/>
        <v>2679.7964709285002</v>
      </c>
      <c r="G417" s="231">
        <f t="shared" si="25"/>
        <v>27.068651221500204</v>
      </c>
    </row>
    <row r="418" spans="1:7" ht="33" x14ac:dyDescent="0.25">
      <c r="A418" s="494" t="s">
        <v>842</v>
      </c>
      <c r="B418" s="229" t="str">
        <f>'целевые показатели'!B369</f>
        <v xml:space="preserve">Капитальный ремонт автомобильных дорог города Орла на улицах частной жилой застройки: ул. Островского </v>
      </c>
      <c r="C418" s="22">
        <f>'целевые показатели'!L369</f>
        <v>6550.1400914999995</v>
      </c>
      <c r="D418" s="22">
        <v>0</v>
      </c>
      <c r="E418" s="22">
        <v>0</v>
      </c>
      <c r="F418" s="22">
        <f t="shared" si="26"/>
        <v>6484.6386905849995</v>
      </c>
      <c r="G418" s="231">
        <f t="shared" si="25"/>
        <v>65.501400914999977</v>
      </c>
    </row>
    <row r="419" spans="1:7" ht="33" x14ac:dyDescent="0.25">
      <c r="A419" s="494" t="s">
        <v>843</v>
      </c>
      <c r="B419" s="229" t="str">
        <f>'целевые показатели'!B370</f>
        <v>Капитальный ремонт автомобильных дорог города Орла на улицах частной жилой застройки: ул. Моховая</v>
      </c>
      <c r="C419" s="22">
        <f>'целевые показатели'!L370</f>
        <v>6534.3566413999988</v>
      </c>
      <c r="D419" s="22">
        <v>0</v>
      </c>
      <c r="E419" s="22">
        <v>0</v>
      </c>
      <c r="F419" s="22">
        <f t="shared" si="26"/>
        <v>6469.0130749859991</v>
      </c>
      <c r="G419" s="231">
        <f t="shared" si="25"/>
        <v>65.343566413999724</v>
      </c>
    </row>
    <row r="420" spans="1:7" ht="33" x14ac:dyDescent="0.25">
      <c r="A420" s="494" t="s">
        <v>844</v>
      </c>
      <c r="B420" s="229" t="str">
        <f>'целевые показатели'!B371</f>
        <v>Капитальный ремонт автомобильных дорог города Орла на улицах частной жилой застройки: ул. Калужская</v>
      </c>
      <c r="C420" s="22">
        <f>'целевые показатели'!L371</f>
        <v>8680.908555</v>
      </c>
      <c r="D420" s="22">
        <v>0</v>
      </c>
      <c r="E420" s="22">
        <v>0</v>
      </c>
      <c r="F420" s="22">
        <f t="shared" si="26"/>
        <v>8594.0994694500005</v>
      </c>
      <c r="G420" s="231">
        <f t="shared" si="25"/>
        <v>86.809085549999509</v>
      </c>
    </row>
    <row r="421" spans="1:7" ht="33" x14ac:dyDescent="0.25">
      <c r="A421" s="494" t="s">
        <v>845</v>
      </c>
      <c r="B421" s="229" t="str">
        <f>'целевые показатели'!B372</f>
        <v>Капитальный ремонт автомобильных дорог города Орла на улицах частной жилой застройки: ул. Восточная</v>
      </c>
      <c r="C421" s="22">
        <f>'целевые показатели'!L372</f>
        <v>6518.5731513000001</v>
      </c>
      <c r="D421" s="22">
        <v>0</v>
      </c>
      <c r="E421" s="22">
        <v>0</v>
      </c>
      <c r="F421" s="22">
        <f t="shared" si="26"/>
        <v>6453.387419787</v>
      </c>
      <c r="G421" s="231">
        <f t="shared" si="25"/>
        <v>65.185731513000064</v>
      </c>
    </row>
    <row r="422" spans="1:7" ht="33" x14ac:dyDescent="0.25">
      <c r="A422" s="494" t="s">
        <v>846</v>
      </c>
      <c r="B422" s="229" t="str">
        <f>'целевые показатели'!B373</f>
        <v>Капитальный ремонт автомобильных дорог города Орла на улицах частной жилой застройки: ул. Ольховецкая</v>
      </c>
      <c r="C422" s="22">
        <f>'целевые показатели'!L373</f>
        <v>5169.0864177499989</v>
      </c>
      <c r="D422" s="22">
        <v>0</v>
      </c>
      <c r="E422" s="22">
        <v>0</v>
      </c>
      <c r="F422" s="22">
        <f>C422*0.99+0.00001</f>
        <v>5117.3955635724988</v>
      </c>
      <c r="G422" s="231">
        <f>C422-F422+0.00001</f>
        <v>51.690864177500117</v>
      </c>
    </row>
    <row r="423" spans="1:7" ht="33" x14ac:dyDescent="0.25">
      <c r="A423" s="494" t="s">
        <v>847</v>
      </c>
      <c r="B423" s="229" t="str">
        <f>'целевые показатели'!B374</f>
        <v>Капитальный ремонт автомобильных дорог города Орла на улицах частной жилой застройки: ул. Краснозоренская</v>
      </c>
      <c r="C423" s="22">
        <f>'целевые показатели'!L374</f>
        <v>6731.649997649999</v>
      </c>
      <c r="D423" s="22">
        <v>0</v>
      </c>
      <c r="E423" s="22">
        <v>0</v>
      </c>
      <c r="F423" s="22">
        <f t="shared" si="26"/>
        <v>6664.3334976734986</v>
      </c>
      <c r="G423" s="231">
        <f t="shared" si="25"/>
        <v>67.316499976500381</v>
      </c>
    </row>
    <row r="424" spans="1:7" ht="33" x14ac:dyDescent="0.25">
      <c r="A424" s="494" t="s">
        <v>848</v>
      </c>
      <c r="B424" s="229" t="str">
        <f>'целевые показатели'!B375</f>
        <v>Капитальный ремонт автомобильных дорог города Орла на улицах частной жилой застройки: ул. Придорожная</v>
      </c>
      <c r="C424" s="22">
        <f>'целевые показатели'!L375</f>
        <v>2564.8138912499999</v>
      </c>
      <c r="D424" s="22">
        <v>0</v>
      </c>
      <c r="E424" s="22">
        <v>0</v>
      </c>
      <c r="F424" s="22">
        <f t="shared" si="26"/>
        <v>2539.1657523374997</v>
      </c>
      <c r="G424" s="231">
        <f t="shared" si="25"/>
        <v>25.648138912500144</v>
      </c>
    </row>
    <row r="425" spans="1:7" ht="33" x14ac:dyDescent="0.25">
      <c r="A425" s="494" t="s">
        <v>849</v>
      </c>
      <c r="B425" s="229" t="str">
        <f>'целевые показатели'!B376</f>
        <v>Капитальный ремонт автомобильных дорог города Орла на улицах частной жилой застройки: пер. Лебединый</v>
      </c>
      <c r="C425" s="22">
        <f>'целевые показатели'!L376</f>
        <v>844.41565034999985</v>
      </c>
      <c r="D425" s="22">
        <v>0</v>
      </c>
      <c r="E425" s="22">
        <v>0</v>
      </c>
      <c r="F425" s="22">
        <f t="shared" si="26"/>
        <v>835.97149384649981</v>
      </c>
      <c r="G425" s="231">
        <f t="shared" si="25"/>
        <v>8.4441565035000394</v>
      </c>
    </row>
    <row r="426" spans="1:7" ht="33" x14ac:dyDescent="0.25">
      <c r="A426" s="494" t="s">
        <v>850</v>
      </c>
      <c r="B426" s="229" t="str">
        <f>'целевые показатели'!B377</f>
        <v>Капитальный ремонт автомобильных дорог города Орла на улицах частной жилой застройки: ул. Мебельная</v>
      </c>
      <c r="C426" s="22">
        <f>'целевые показатели'!L377</f>
        <v>1744.0734360499998</v>
      </c>
      <c r="D426" s="22">
        <v>0</v>
      </c>
      <c r="E426" s="22">
        <v>0</v>
      </c>
      <c r="F426" s="22">
        <f t="shared" si="26"/>
        <v>1726.6327016894998</v>
      </c>
      <c r="G426" s="231">
        <f>C426-F426+0.00001</f>
        <v>17.440744360500073</v>
      </c>
    </row>
    <row r="427" spans="1:7" ht="33" x14ac:dyDescent="0.25">
      <c r="A427" s="494" t="s">
        <v>851</v>
      </c>
      <c r="B427" s="229" t="str">
        <f>'целевые показатели'!B378</f>
        <v>Капитальный ремонт автомобильных дорог города Орла на улицах частной жилой застройки: пер. Краснозоренский</v>
      </c>
      <c r="C427" s="22">
        <f>'целевые показатели'!L378</f>
        <v>1736.181711</v>
      </c>
      <c r="D427" s="22">
        <v>0</v>
      </c>
      <c r="E427" s="22">
        <v>0</v>
      </c>
      <c r="F427" s="22">
        <f t="shared" si="26"/>
        <v>1718.81989389</v>
      </c>
      <c r="G427" s="231">
        <f t="shared" si="25"/>
        <v>17.361817109999947</v>
      </c>
    </row>
    <row r="428" spans="1:7" ht="33" x14ac:dyDescent="0.25">
      <c r="A428" s="494" t="s">
        <v>852</v>
      </c>
      <c r="B428" s="229" t="str">
        <f>'целевые показатели'!B379</f>
        <v>Капитальный ремонт автомобильных дорог города Орла на улицах частной жилой застройки: пер. Столярный</v>
      </c>
      <c r="C428" s="22">
        <f>'целевые показатели'!L379-0.000005</f>
        <v>947.00817600000005</v>
      </c>
      <c r="D428" s="22">
        <v>0</v>
      </c>
      <c r="E428" s="22">
        <v>0</v>
      </c>
      <c r="F428" s="22">
        <f>C428*0.99+0.00001</f>
        <v>937.53810424000005</v>
      </c>
      <c r="G428" s="231">
        <f>C428-F428+0.00001</f>
        <v>9.4700817599999958</v>
      </c>
    </row>
    <row r="429" spans="1:7" ht="33" x14ac:dyDescent="0.25">
      <c r="A429" s="494" t="s">
        <v>853</v>
      </c>
      <c r="B429" s="229" t="str">
        <f>'целевые показатели'!B380</f>
        <v>Капитальный ремонт автомобильных дорог города Орла на улицах частной жилой застройки: ул. Надежды</v>
      </c>
      <c r="C429" s="22">
        <f>'целевые показатели'!L380</f>
        <v>3748.5741487499999</v>
      </c>
      <c r="D429" s="22">
        <v>0</v>
      </c>
      <c r="E429" s="22">
        <v>0</v>
      </c>
      <c r="F429" s="22">
        <f t="shared" si="26"/>
        <v>3711.0884072624999</v>
      </c>
      <c r="G429" s="231">
        <f t="shared" si="25"/>
        <v>37.485741487500036</v>
      </c>
    </row>
    <row r="430" spans="1:7" ht="33" x14ac:dyDescent="0.25">
      <c r="A430" s="494" t="s">
        <v>854</v>
      </c>
      <c r="B430" s="229" t="str">
        <f>'целевые показатели'!B381</f>
        <v>Капитальный ремонт автомобильных дорог города Орла на улицах частной жилой застройки: ул. Сечкина</v>
      </c>
      <c r="C430" s="22">
        <f>'целевые показатели'!L381</f>
        <v>2280.7114294499997</v>
      </c>
      <c r="D430" s="22">
        <v>0</v>
      </c>
      <c r="E430" s="22">
        <v>0</v>
      </c>
      <c r="F430" s="22">
        <f t="shared" si="26"/>
        <v>2257.9043151554997</v>
      </c>
      <c r="G430" s="231">
        <f t="shared" si="25"/>
        <v>22.807114294500025</v>
      </c>
    </row>
    <row r="431" spans="1:7" ht="33" x14ac:dyDescent="0.25">
      <c r="A431" s="494" t="s">
        <v>855</v>
      </c>
      <c r="B431" s="229" t="str">
        <f>'целевые показатели'!B382</f>
        <v>Капитальный ремонт автомобильных дорог города Орла на улицах частной жилой застройки: пер. Сечкина</v>
      </c>
      <c r="C431" s="22">
        <f>'целевые показатели'!L382</f>
        <v>1996.6089676500001</v>
      </c>
      <c r="D431" s="22">
        <v>0</v>
      </c>
      <c r="E431" s="22">
        <v>0</v>
      </c>
      <c r="F431" s="22">
        <f t="shared" si="26"/>
        <v>1976.6428779735002</v>
      </c>
      <c r="G431" s="231">
        <f t="shared" si="25"/>
        <v>19.966089676499905</v>
      </c>
    </row>
    <row r="432" spans="1:7" ht="33" x14ac:dyDescent="0.25">
      <c r="A432" s="494" t="s">
        <v>856</v>
      </c>
      <c r="B432" s="229" t="str">
        <f>'целевые показатели'!B383</f>
        <v>Капитальный ремонт автомобильных дорог города Орла на улицах частной жилой застройки: ул. Героев Чекистов</v>
      </c>
      <c r="C432" s="22">
        <f>'целевые показатели'!L383</f>
        <v>1625.6974203</v>
      </c>
      <c r="D432" s="22">
        <v>0</v>
      </c>
      <c r="E432" s="22">
        <v>0</v>
      </c>
      <c r="F432" s="22">
        <f t="shared" si="26"/>
        <v>1609.4404460969999</v>
      </c>
      <c r="G432" s="231">
        <f t="shared" si="25"/>
        <v>16.256974203000027</v>
      </c>
    </row>
    <row r="433" spans="1:8" ht="33" x14ac:dyDescent="0.25">
      <c r="A433" s="494" t="s">
        <v>857</v>
      </c>
      <c r="B433" s="229" t="str">
        <f>'целевые показатели'!B384</f>
        <v>Капитальный ремонт автомобильных дорог города Орла на улицах частной жилой застройки: ул. Героев Милиционеров</v>
      </c>
      <c r="C433" s="22">
        <f>'целевые показатели'!L384</f>
        <v>757.60613599999999</v>
      </c>
      <c r="D433" s="22">
        <v>0</v>
      </c>
      <c r="E433" s="22">
        <v>0</v>
      </c>
      <c r="F433" s="22">
        <f t="shared" si="26"/>
        <v>750.03007463999995</v>
      </c>
      <c r="G433" s="231">
        <f>C433-F433+0.00001</f>
        <v>7.5760713600000393</v>
      </c>
    </row>
    <row r="434" spans="1:8" ht="33" x14ac:dyDescent="0.25">
      <c r="A434" s="494" t="s">
        <v>860</v>
      </c>
      <c r="B434" s="229" t="str">
        <f>'целевые показатели'!B385</f>
        <v>Капитальный ремонт автомобильных дорог города Орла на улицах частной жилой застройки: ул. Благининой</v>
      </c>
      <c r="C434" s="22">
        <f>'целевые показатели'!L385</f>
        <v>16250.152047999996</v>
      </c>
      <c r="D434" s="22">
        <v>0</v>
      </c>
      <c r="E434" s="22">
        <v>0</v>
      </c>
      <c r="F434" s="22">
        <f t="shared" si="26"/>
        <v>16087.650527519996</v>
      </c>
      <c r="G434" s="231">
        <f t="shared" si="25"/>
        <v>162.50152048000018</v>
      </c>
    </row>
    <row r="435" spans="1:8" ht="21" customHeight="1" x14ac:dyDescent="0.25">
      <c r="A435" s="762" t="s">
        <v>21</v>
      </c>
      <c r="B435" s="763"/>
      <c r="C435" s="763"/>
      <c r="D435" s="763"/>
      <c r="E435" s="763"/>
      <c r="F435" s="763"/>
      <c r="G435" s="764"/>
    </row>
    <row r="436" spans="1:8" x14ac:dyDescent="0.25">
      <c r="A436" s="410">
        <v>1</v>
      </c>
      <c r="B436" s="321" t="s">
        <v>44</v>
      </c>
      <c r="C436" s="313">
        <f>SUM(C438:C446)</f>
        <v>909090.9090937071</v>
      </c>
      <c r="D436" s="313">
        <f>SUM(D438:D446)</f>
        <v>0</v>
      </c>
      <c r="E436" s="313">
        <f>SUM(E438:E446)</f>
        <v>0</v>
      </c>
      <c r="F436" s="313">
        <f>SUM(F438:F446)</f>
        <v>900000.0000027701</v>
      </c>
      <c r="G436" s="411">
        <f>SUM(G438:G446)</f>
        <v>3421.429798199998</v>
      </c>
    </row>
    <row r="437" spans="1:8" x14ac:dyDescent="0.25">
      <c r="A437" s="228" t="s">
        <v>45</v>
      </c>
      <c r="B437" s="325" t="s">
        <v>22</v>
      </c>
      <c r="C437" s="22">
        <f>SUM(C438:C441)</f>
        <v>734795.99539370718</v>
      </c>
      <c r="D437" s="22">
        <f>SUM(D438:D441)</f>
        <v>0</v>
      </c>
      <c r="E437" s="22">
        <f>SUM(E438:E441)</f>
        <v>0</v>
      </c>
      <c r="F437" s="22">
        <f>SUM(F438:F441)</f>
        <v>727448.03543977009</v>
      </c>
      <c r="G437" s="231">
        <f>C437-F437</f>
        <v>7347.9599539370975</v>
      </c>
    </row>
    <row r="438" spans="1:8" x14ac:dyDescent="0.25">
      <c r="A438" s="240" t="s">
        <v>170</v>
      </c>
      <c r="B438" s="241" t="s">
        <v>167</v>
      </c>
      <c r="C438" s="242">
        <v>20000</v>
      </c>
      <c r="D438" s="243">
        <v>0</v>
      </c>
      <c r="E438" s="243">
        <v>0</v>
      </c>
      <c r="F438" s="243">
        <f>C438*0.99</f>
        <v>19800</v>
      </c>
      <c r="G438" s="244">
        <f>C438-F438</f>
        <v>200</v>
      </c>
    </row>
    <row r="439" spans="1:8" ht="31.5" x14ac:dyDescent="0.25">
      <c r="A439" s="240" t="s">
        <v>171</v>
      </c>
      <c r="B439" s="241" t="s">
        <v>176</v>
      </c>
      <c r="C439" s="242">
        <v>100873.39939999999</v>
      </c>
      <c r="D439" s="243">
        <v>0</v>
      </c>
      <c r="E439" s="243">
        <v>0</v>
      </c>
      <c r="F439" s="243">
        <f t="shared" ref="F439:F446" si="27">C439*0.99</f>
        <v>99864.665406</v>
      </c>
      <c r="G439" s="244">
        <f t="shared" ref="G439:G446" si="28">C439-F439</f>
        <v>1008.7339939999947</v>
      </c>
    </row>
    <row r="440" spans="1:8" ht="31.5" x14ac:dyDescent="0.25">
      <c r="A440" s="240" t="s">
        <v>172</v>
      </c>
      <c r="B440" s="241" t="s">
        <v>168</v>
      </c>
      <c r="C440" s="242">
        <v>4025.1717699999999</v>
      </c>
      <c r="D440" s="243">
        <v>0</v>
      </c>
      <c r="E440" s="243">
        <v>0</v>
      </c>
      <c r="F440" s="243">
        <f t="shared" si="27"/>
        <v>3984.9200523</v>
      </c>
      <c r="G440" s="244">
        <f t="shared" si="28"/>
        <v>40.251717699999972</v>
      </c>
    </row>
    <row r="441" spans="1:8" x14ac:dyDescent="0.25">
      <c r="A441" s="240" t="s">
        <v>173</v>
      </c>
      <c r="B441" s="241" t="s">
        <v>169</v>
      </c>
      <c r="C441" s="242">
        <v>609897.42422370717</v>
      </c>
      <c r="D441" s="243">
        <v>0</v>
      </c>
      <c r="E441" s="243">
        <v>0</v>
      </c>
      <c r="F441" s="243">
        <f t="shared" si="27"/>
        <v>603798.44998147013</v>
      </c>
      <c r="G441" s="244">
        <f>C442-F442</f>
        <v>429.49494950000371</v>
      </c>
    </row>
    <row r="442" spans="1:8" x14ac:dyDescent="0.25">
      <c r="A442" s="437" t="s">
        <v>46</v>
      </c>
      <c r="B442" s="325" t="s">
        <v>23</v>
      </c>
      <c r="C442" s="22">
        <f>'целевые показатели'!M28</f>
        <v>42949.49495</v>
      </c>
      <c r="D442" s="22">
        <v>0</v>
      </c>
      <c r="E442" s="22">
        <v>0</v>
      </c>
      <c r="F442" s="243">
        <f t="shared" si="27"/>
        <v>42520.000000499997</v>
      </c>
      <c r="G442" s="231">
        <f t="shared" si="28"/>
        <v>429.49494950000371</v>
      </c>
    </row>
    <row r="443" spans="1:8" ht="16.5" x14ac:dyDescent="0.25">
      <c r="A443" s="228" t="s">
        <v>47</v>
      </c>
      <c r="B443" s="275" t="s">
        <v>184</v>
      </c>
      <c r="C443" s="22">
        <f>'целевые показатели'!M29</f>
        <v>116193.90360000001</v>
      </c>
      <c r="D443" s="22">
        <v>0</v>
      </c>
      <c r="E443" s="22">
        <v>0</v>
      </c>
      <c r="F443" s="22">
        <f t="shared" si="27"/>
        <v>115031.96456400001</v>
      </c>
      <c r="G443" s="231">
        <f t="shared" si="28"/>
        <v>1161.9390359999961</v>
      </c>
    </row>
    <row r="444" spans="1:8" ht="31.5" x14ac:dyDescent="0.25">
      <c r="A444" s="228" t="s">
        <v>48</v>
      </c>
      <c r="B444" s="18" t="s">
        <v>24</v>
      </c>
      <c r="C444" s="22">
        <f>'целевые показатели'!M30</f>
        <v>10101.0101</v>
      </c>
      <c r="D444" s="22">
        <v>0</v>
      </c>
      <c r="E444" s="22">
        <v>0</v>
      </c>
      <c r="F444" s="22">
        <f t="shared" si="27"/>
        <v>9999.9999989999997</v>
      </c>
      <c r="G444" s="231">
        <f t="shared" si="28"/>
        <v>101.01010099999985</v>
      </c>
    </row>
    <row r="445" spans="1:8" ht="31.5" x14ac:dyDescent="0.25">
      <c r="A445" s="228" t="s">
        <v>49</v>
      </c>
      <c r="B445" s="344" t="s">
        <v>25</v>
      </c>
      <c r="C445" s="22">
        <f>'целевые показатели'!M32</f>
        <v>5050.5050499999998</v>
      </c>
      <c r="D445" s="22">
        <v>0</v>
      </c>
      <c r="E445" s="22">
        <v>0</v>
      </c>
      <c r="F445" s="22">
        <f t="shared" si="27"/>
        <v>4999.9999994999998</v>
      </c>
      <c r="G445" s="231">
        <f t="shared" si="28"/>
        <v>50.505050499999925</v>
      </c>
    </row>
    <row r="446" spans="1:8" ht="16.5" x14ac:dyDescent="0.25">
      <c r="A446" s="228" t="s">
        <v>155</v>
      </c>
      <c r="B446" s="229" t="s">
        <v>154</v>
      </c>
      <c r="C446" s="22">
        <f>'целевые показатели'!M33</f>
        <v>0</v>
      </c>
      <c r="D446" s="22">
        <v>0</v>
      </c>
      <c r="E446" s="22">
        <v>0</v>
      </c>
      <c r="F446" s="22">
        <f t="shared" si="27"/>
        <v>0</v>
      </c>
      <c r="G446" s="231">
        <f t="shared" si="28"/>
        <v>0</v>
      </c>
    </row>
    <row r="447" spans="1:8" ht="31.5" x14ac:dyDescent="0.25">
      <c r="A447" s="410">
        <v>2</v>
      </c>
      <c r="B447" s="321" t="s">
        <v>15</v>
      </c>
      <c r="C447" s="396">
        <f>SUM(C448:C448)</f>
        <v>3947</v>
      </c>
      <c r="D447" s="396">
        <f>SUM(D448:D448)</f>
        <v>0</v>
      </c>
      <c r="E447" s="396">
        <f>SUM(E448:E448)</f>
        <v>0</v>
      </c>
      <c r="F447" s="396">
        <f>SUM(F448:F448)</f>
        <v>0</v>
      </c>
      <c r="G447" s="427">
        <f>SUM(G448:G448)</f>
        <v>3947</v>
      </c>
    </row>
    <row r="448" spans="1:8" ht="31.5" x14ac:dyDescent="0.25">
      <c r="A448" s="228" t="s">
        <v>157</v>
      </c>
      <c r="B448" s="18" t="str">
        <f>'целевые показатели'!B131</f>
        <v>разработка проектно-сметной документации и проведение проверки достоверности сметной стоимости</v>
      </c>
      <c r="C448" s="230">
        <f>'целевые показатели'!M131</f>
        <v>3947</v>
      </c>
      <c r="D448" s="230">
        <v>0</v>
      </c>
      <c r="E448" s="230">
        <v>0</v>
      </c>
      <c r="F448" s="22">
        <v>0</v>
      </c>
      <c r="G448" s="231">
        <f>C448-F448</f>
        <v>3947</v>
      </c>
      <c r="H448" s="238"/>
    </row>
    <row r="449" spans="1:10" ht="94.5" x14ac:dyDescent="0.25">
      <c r="A449" s="410">
        <v>3</v>
      </c>
      <c r="B449" s="321" t="s">
        <v>426</v>
      </c>
      <c r="C449" s="313">
        <f>SUM(C450:C451)</f>
        <v>306030.30303000001</v>
      </c>
      <c r="D449" s="313">
        <f>SUM(D450:D451)</f>
        <v>0</v>
      </c>
      <c r="E449" s="313">
        <f>SUM(E450:E451)</f>
        <v>0</v>
      </c>
      <c r="F449" s="313">
        <f>SUM(F450:F451)</f>
        <v>299999.9999997</v>
      </c>
      <c r="G449" s="411">
        <f>SUM(G450:G451)</f>
        <v>6030.3030303000123</v>
      </c>
    </row>
    <row r="450" spans="1:10" ht="16.5" x14ac:dyDescent="0.25">
      <c r="A450" s="228" t="s">
        <v>68</v>
      </c>
      <c r="B450" s="275" t="str">
        <f>'целевые показатели'!B157</f>
        <v>Московское шоссе (от пер.Межевого до ул.Рощинской)</v>
      </c>
      <c r="C450" s="22">
        <f>'целевые показатели'!M157</f>
        <v>303030.30303000001</v>
      </c>
      <c r="D450" s="22">
        <v>0</v>
      </c>
      <c r="E450" s="22">
        <v>0</v>
      </c>
      <c r="F450" s="22">
        <f>C450*0.99</f>
        <v>299999.9999997</v>
      </c>
      <c r="G450" s="231">
        <f>C450-F450</f>
        <v>3030.3030303000123</v>
      </c>
    </row>
    <row r="451" spans="1:10" ht="33" x14ac:dyDescent="0.25">
      <c r="A451" s="228" t="s">
        <v>69</v>
      </c>
      <c r="B451" s="275" t="str">
        <f>'целевые показатели'!B160</f>
        <v>разработка проектно-сметной документации и проведение проверки достоверности сметной стоимости</v>
      </c>
      <c r="C451" s="22">
        <f>'целевые показатели'!M160</f>
        <v>3000</v>
      </c>
      <c r="D451" s="22">
        <v>0</v>
      </c>
      <c r="E451" s="22">
        <v>0</v>
      </c>
      <c r="F451" s="22">
        <v>0</v>
      </c>
      <c r="G451" s="231">
        <f>C451-F451</f>
        <v>3000</v>
      </c>
    </row>
    <row r="452" spans="1:10" ht="49.5" x14ac:dyDescent="0.25">
      <c r="A452" s="228">
        <v>4</v>
      </c>
      <c r="B452" s="398" t="s">
        <v>13</v>
      </c>
      <c r="C452" s="313">
        <f>SUM(C453:C455)</f>
        <v>2200</v>
      </c>
      <c r="D452" s="313">
        <f>SUM(D453:D455)</f>
        <v>0</v>
      </c>
      <c r="E452" s="313">
        <f>SUM(E453:E455)</f>
        <v>0</v>
      </c>
      <c r="F452" s="313">
        <f>SUM(F453:F455)</f>
        <v>0</v>
      </c>
      <c r="G452" s="411">
        <f>SUM(G453:G455)</f>
        <v>2200</v>
      </c>
    </row>
    <row r="453" spans="1:10" ht="33" x14ac:dyDescent="0.25">
      <c r="A453" s="228" t="s">
        <v>380</v>
      </c>
      <c r="B453" s="229" t="s">
        <v>146</v>
      </c>
      <c r="C453" s="22">
        <f>'целевые показатели'!M172</f>
        <v>150</v>
      </c>
      <c r="D453" s="22">
        <v>0</v>
      </c>
      <c r="E453" s="22">
        <v>0</v>
      </c>
      <c r="F453" s="22">
        <v>0</v>
      </c>
      <c r="G453" s="231">
        <f>C453-F453</f>
        <v>150</v>
      </c>
    </row>
    <row r="454" spans="1:10" ht="33" x14ac:dyDescent="0.25">
      <c r="A454" s="228" t="s">
        <v>415</v>
      </c>
      <c r="B454" s="229" t="s">
        <v>147</v>
      </c>
      <c r="C454" s="22">
        <f>'целевые показатели'!M173</f>
        <v>150</v>
      </c>
      <c r="D454" s="22">
        <v>0</v>
      </c>
      <c r="E454" s="22">
        <v>0</v>
      </c>
      <c r="F454" s="22">
        <v>0</v>
      </c>
      <c r="G454" s="231">
        <f>C454-F454</f>
        <v>150</v>
      </c>
    </row>
    <row r="455" spans="1:10" ht="16.5" x14ac:dyDescent="0.25">
      <c r="A455" s="228" t="s">
        <v>416</v>
      </c>
      <c r="B455" s="229" t="s">
        <v>319</v>
      </c>
      <c r="C455" s="22">
        <f>'целевые показатели'!M195</f>
        <v>1900</v>
      </c>
      <c r="D455" s="22">
        <v>0</v>
      </c>
      <c r="E455" s="22">
        <v>0</v>
      </c>
      <c r="F455" s="22">
        <v>0</v>
      </c>
      <c r="G455" s="231">
        <f>C455-F455</f>
        <v>1900</v>
      </c>
    </row>
    <row r="456" spans="1:10" ht="110.25" x14ac:dyDescent="0.25">
      <c r="A456" s="410">
        <v>5</v>
      </c>
      <c r="B456" s="394" t="s">
        <v>427</v>
      </c>
      <c r="C456" s="313">
        <f>'целевые показатели'!M205</f>
        <v>90490.606070000009</v>
      </c>
      <c r="D456" s="313">
        <f>'целевые показатели'!M209</f>
        <v>80627.100000000006</v>
      </c>
      <c r="E456" s="313">
        <v>0</v>
      </c>
      <c r="F456" s="313">
        <f>'целевые показатели'!M210</f>
        <v>8958.6</v>
      </c>
      <c r="G456" s="411">
        <f>'целевые показатели'!M211</f>
        <v>904.90607</v>
      </c>
    </row>
    <row r="457" spans="1:10" ht="31.5" x14ac:dyDescent="0.25">
      <c r="A457" s="410">
        <v>6</v>
      </c>
      <c r="B457" s="394" t="s">
        <v>292</v>
      </c>
      <c r="C457" s="313">
        <f>C458+C474</f>
        <v>104957.10101</v>
      </c>
      <c r="D457" s="313">
        <f t="shared" ref="D457:E457" si="29">SUM(D458:D474)</f>
        <v>0</v>
      </c>
      <c r="E457" s="313">
        <f t="shared" si="29"/>
        <v>0</v>
      </c>
      <c r="F457" s="313">
        <f>SUM(F458)</f>
        <v>99999.999999899999</v>
      </c>
      <c r="G457" s="411">
        <f>G458+G474</f>
        <v>4957.1010100999993</v>
      </c>
      <c r="I457" s="245"/>
      <c r="J457" s="174"/>
    </row>
    <row r="458" spans="1:10" ht="47.25" x14ac:dyDescent="0.25">
      <c r="A458" s="494" t="s">
        <v>688</v>
      </c>
      <c r="B458" s="18" t="s">
        <v>711</v>
      </c>
      <c r="C458" s="22">
        <v>101010.10101</v>
      </c>
      <c r="D458" s="22">
        <v>0</v>
      </c>
      <c r="E458" s="22">
        <v>0</v>
      </c>
      <c r="F458" s="22">
        <f>C458*0.99</f>
        <v>99999.999999899999</v>
      </c>
      <c r="G458" s="231">
        <f>C458-F458</f>
        <v>1010.1010100999993</v>
      </c>
      <c r="J458" s="22"/>
    </row>
    <row r="459" spans="1:10" ht="38.25" hidden="1" customHeight="1" x14ac:dyDescent="0.25">
      <c r="A459" s="494" t="s">
        <v>689</v>
      </c>
      <c r="B459" s="18" t="e">
        <f>'целевые показатели'!#REF!</f>
        <v>#REF!</v>
      </c>
      <c r="C459" s="22" t="e">
        <f>'целевые показатели'!#REF!</f>
        <v>#REF!</v>
      </c>
      <c r="D459" s="22">
        <v>0</v>
      </c>
      <c r="E459" s="22">
        <v>0</v>
      </c>
      <c r="F459" s="22" t="e">
        <f t="shared" ref="F459:F465" si="30">C459*0.99</f>
        <v>#REF!</v>
      </c>
      <c r="G459" s="231" t="e">
        <f t="shared" ref="G459:G465" si="31">C459-F459</f>
        <v>#REF!</v>
      </c>
    </row>
    <row r="460" spans="1:10" hidden="1" x14ac:dyDescent="0.25">
      <c r="A460" s="494" t="s">
        <v>690</v>
      </c>
      <c r="B460" s="18" t="str">
        <f>'целевые показатели'!B255</f>
        <v>ул.Сурена-Шаумяна</v>
      </c>
      <c r="C460" s="22">
        <f>'целевые показатели'!M255</f>
        <v>0</v>
      </c>
      <c r="D460" s="22">
        <v>0</v>
      </c>
      <c r="E460" s="22">
        <v>0</v>
      </c>
      <c r="F460" s="22">
        <f t="shared" si="30"/>
        <v>0</v>
      </c>
      <c r="G460" s="231">
        <f t="shared" si="31"/>
        <v>0</v>
      </c>
    </row>
    <row r="461" spans="1:10" hidden="1" x14ac:dyDescent="0.25">
      <c r="A461" s="494" t="s">
        <v>691</v>
      </c>
      <c r="B461" s="18" t="str">
        <f>'целевые показатели'!B256</f>
        <v>ул.1-ая Посадская от ул.Комсомольская до Тургеневского моста</v>
      </c>
      <c r="C461" s="22">
        <f>'целевые показатели'!M256</f>
        <v>0</v>
      </c>
      <c r="D461" s="22">
        <v>0</v>
      </c>
      <c r="E461" s="22">
        <v>0</v>
      </c>
      <c r="F461" s="22">
        <f t="shared" si="30"/>
        <v>0</v>
      </c>
      <c r="G461" s="231">
        <f t="shared" si="31"/>
        <v>0</v>
      </c>
    </row>
    <row r="462" spans="1:10" ht="31.5" hidden="1" x14ac:dyDescent="0.25">
      <c r="A462" s="494" t="s">
        <v>692</v>
      </c>
      <c r="B462" s="18" t="str">
        <f>'целевые показатели'!B386</f>
        <v xml:space="preserve">Капитальный ремонт улично-дорожной сети города Орла по пер.Почтовый от ул. Пролетарская Гора до д.16 </v>
      </c>
      <c r="C462" s="22">
        <f>'целевые показатели'!M386</f>
        <v>0</v>
      </c>
      <c r="D462" s="22">
        <v>0</v>
      </c>
      <c r="E462" s="22">
        <v>0</v>
      </c>
      <c r="F462" s="22">
        <f t="shared" si="30"/>
        <v>0</v>
      </c>
      <c r="G462" s="231">
        <f t="shared" si="31"/>
        <v>0</v>
      </c>
    </row>
    <row r="463" spans="1:10" ht="31.5" hidden="1" x14ac:dyDescent="0.25">
      <c r="A463" s="494" t="s">
        <v>693</v>
      </c>
      <c r="B463" s="18" t="str">
        <f>'целевые показатели'!B387</f>
        <v>Капитальный ремонт улично-дорожной сети города Орла по пер. Почтовый от д.6 до ул. Ленина</v>
      </c>
      <c r="C463" s="22">
        <f>'целевые показатели'!M387</f>
        <v>0</v>
      </c>
      <c r="D463" s="22">
        <v>0</v>
      </c>
      <c r="E463" s="22">
        <v>0</v>
      </c>
      <c r="F463" s="22">
        <f t="shared" si="30"/>
        <v>0</v>
      </c>
      <c r="G463" s="231">
        <f t="shared" si="31"/>
        <v>0</v>
      </c>
    </row>
    <row r="464" spans="1:10" ht="31.5" hidden="1" x14ac:dyDescent="0.25">
      <c r="A464" s="494" t="s">
        <v>694</v>
      </c>
      <c r="B464" s="18" t="str">
        <f>'целевые показатели'!B388</f>
        <v>Капитальный ремонт улично-дорожной сети города Орла: ул.Карачевская, ул.Гостиная, ул.Пушкина</v>
      </c>
      <c r="C464" s="22">
        <f>'целевые показатели'!M388</f>
        <v>0</v>
      </c>
      <c r="D464" s="22">
        <v>0</v>
      </c>
      <c r="E464" s="22">
        <v>0</v>
      </c>
      <c r="F464" s="22">
        <f t="shared" si="30"/>
        <v>0</v>
      </c>
      <c r="G464" s="239">
        <f>26870.9149000002+2660220.5751-2687091.49</f>
        <v>0</v>
      </c>
      <c r="H464" s="238"/>
    </row>
    <row r="465" spans="1:7" ht="47.25" hidden="1" x14ac:dyDescent="0.25">
      <c r="A465" s="494" t="s">
        <v>690</v>
      </c>
      <c r="B465" s="18" t="str">
        <f>'целевые показатели'!B397</f>
        <v>Капитальный ремонт улично-дорожной сети города Орла по ул.Колхозная (на участке от моста в створе ул.Колхозная до ул. Энгельса)</v>
      </c>
      <c r="C465" s="22">
        <v>86000</v>
      </c>
      <c r="D465" s="22">
        <v>0</v>
      </c>
      <c r="E465" s="22">
        <v>0</v>
      </c>
      <c r="F465" s="22">
        <f t="shared" si="30"/>
        <v>85140</v>
      </c>
      <c r="G465" s="231">
        <f t="shared" si="31"/>
        <v>860</v>
      </c>
    </row>
    <row r="466" spans="1:7" ht="47.25" hidden="1" x14ac:dyDescent="0.25">
      <c r="A466" s="494" t="s">
        <v>691</v>
      </c>
      <c r="B466" s="169" t="s">
        <v>710</v>
      </c>
      <c r="C466" s="172">
        <v>171900</v>
      </c>
      <c r="D466" s="22">
        <v>0</v>
      </c>
      <c r="E466" s="22">
        <v>0</v>
      </c>
      <c r="F466" s="22">
        <f>C466*0.99</f>
        <v>170181</v>
      </c>
      <c r="G466" s="22">
        <f>C466-F466</f>
        <v>1719</v>
      </c>
    </row>
    <row r="467" spans="1:7" ht="31.5" hidden="1" x14ac:dyDescent="0.25">
      <c r="A467" s="494" t="s">
        <v>692</v>
      </c>
      <c r="B467" s="169" t="s">
        <v>709</v>
      </c>
      <c r="C467" s="172">
        <v>101200</v>
      </c>
      <c r="D467" s="22">
        <v>0</v>
      </c>
      <c r="E467" s="22">
        <v>0</v>
      </c>
      <c r="F467" s="22">
        <f t="shared" ref="F467:F473" si="32">C467*0.99</f>
        <v>100188</v>
      </c>
      <c r="G467" s="22">
        <f t="shared" ref="G467:G473" si="33">C467-F467</f>
        <v>1012</v>
      </c>
    </row>
    <row r="468" spans="1:7" hidden="1" x14ac:dyDescent="0.25">
      <c r="A468" s="494" t="s">
        <v>693</v>
      </c>
      <c r="B468" s="169" t="s">
        <v>707</v>
      </c>
      <c r="C468" s="172">
        <v>191400</v>
      </c>
      <c r="D468" s="22">
        <v>0</v>
      </c>
      <c r="E468" s="22">
        <v>0</v>
      </c>
      <c r="F468" s="22">
        <f t="shared" si="32"/>
        <v>189486</v>
      </c>
      <c r="G468" s="22">
        <f t="shared" si="33"/>
        <v>1914</v>
      </c>
    </row>
    <row r="469" spans="1:7" ht="25.5" hidden="1" customHeight="1" x14ac:dyDescent="0.25">
      <c r="A469" s="494" t="s">
        <v>694</v>
      </c>
      <c r="B469" s="169" t="s">
        <v>703</v>
      </c>
      <c r="C469" s="172">
        <v>110000</v>
      </c>
      <c r="D469" s="22">
        <v>0</v>
      </c>
      <c r="E469" s="22">
        <v>0</v>
      </c>
      <c r="F469" s="22">
        <f t="shared" si="32"/>
        <v>108900</v>
      </c>
      <c r="G469" s="22">
        <f t="shared" si="33"/>
        <v>1100</v>
      </c>
    </row>
    <row r="470" spans="1:7" ht="31.5" hidden="1" x14ac:dyDescent="0.25">
      <c r="A470" s="494" t="s">
        <v>695</v>
      </c>
      <c r="B470" s="169" t="s">
        <v>704</v>
      </c>
      <c r="C470" s="172">
        <v>324500</v>
      </c>
      <c r="D470" s="22">
        <v>0</v>
      </c>
      <c r="E470" s="22">
        <v>0</v>
      </c>
      <c r="F470" s="22">
        <f t="shared" si="32"/>
        <v>321255</v>
      </c>
      <c r="G470" s="22">
        <f t="shared" si="33"/>
        <v>3245</v>
      </c>
    </row>
    <row r="471" spans="1:7" ht="31.5" hidden="1" x14ac:dyDescent="0.25">
      <c r="A471" s="494" t="s">
        <v>696</v>
      </c>
      <c r="B471" s="169" t="s">
        <v>705</v>
      </c>
      <c r="C471" s="172">
        <v>309100</v>
      </c>
      <c r="D471" s="22">
        <v>0</v>
      </c>
      <c r="E471" s="22">
        <v>0</v>
      </c>
      <c r="F471" s="22">
        <f t="shared" si="32"/>
        <v>306009</v>
      </c>
      <c r="G471" s="22">
        <f t="shared" si="33"/>
        <v>3091</v>
      </c>
    </row>
    <row r="472" spans="1:7" ht="31.5" hidden="1" x14ac:dyDescent="0.25">
      <c r="A472" s="494" t="s">
        <v>697</v>
      </c>
      <c r="B472" s="169" t="s">
        <v>706</v>
      </c>
      <c r="C472" s="172">
        <v>25000</v>
      </c>
      <c r="D472" s="22">
        <v>0</v>
      </c>
      <c r="E472" s="22">
        <v>0</v>
      </c>
      <c r="F472" s="22">
        <f t="shared" si="32"/>
        <v>24750</v>
      </c>
      <c r="G472" s="22">
        <f t="shared" si="33"/>
        <v>250</v>
      </c>
    </row>
    <row r="473" spans="1:7" ht="47.25" hidden="1" x14ac:dyDescent="0.25">
      <c r="A473" s="494" t="s">
        <v>698</v>
      </c>
      <c r="B473" s="169" t="s">
        <v>708</v>
      </c>
      <c r="C473" s="22">
        <v>160600</v>
      </c>
      <c r="D473" s="22">
        <v>0</v>
      </c>
      <c r="E473" s="22">
        <v>0</v>
      </c>
      <c r="F473" s="22">
        <f t="shared" si="32"/>
        <v>158994</v>
      </c>
      <c r="G473" s="22">
        <f t="shared" si="33"/>
        <v>1606</v>
      </c>
    </row>
    <row r="474" spans="1:7" ht="31.5" x14ac:dyDescent="0.25">
      <c r="A474" s="494" t="s">
        <v>689</v>
      </c>
      <c r="B474" s="18" t="str">
        <f>'целевые показатели'!B398</f>
        <v>разработка проектно-сметной документации и проведение проверки достоверности сметной стоимости</v>
      </c>
      <c r="C474" s="22">
        <v>3947</v>
      </c>
      <c r="D474" s="22">
        <v>0</v>
      </c>
      <c r="E474" s="22">
        <v>0</v>
      </c>
      <c r="F474" s="22">
        <v>0</v>
      </c>
      <c r="G474" s="22">
        <v>3947</v>
      </c>
    </row>
    <row r="475" spans="1:7" ht="15" customHeight="1" x14ac:dyDescent="0.25">
      <c r="C475" s="34"/>
      <c r="D475" s="34"/>
      <c r="E475" s="34"/>
      <c r="F475" s="34"/>
      <c r="G475" s="34"/>
    </row>
    <row r="476" spans="1:7" hidden="1" x14ac:dyDescent="0.25">
      <c r="B476" s="124"/>
      <c r="C476" s="34"/>
      <c r="D476" s="34"/>
      <c r="E476" s="34"/>
      <c r="F476" s="34"/>
      <c r="G476" s="34"/>
    </row>
    <row r="477" spans="1:7" hidden="1" x14ac:dyDescent="0.25">
      <c r="B477" s="124"/>
      <c r="C477" s="34"/>
      <c r="D477" s="34"/>
      <c r="E477" s="34"/>
      <c r="F477" s="34"/>
      <c r="G477" s="34"/>
    </row>
    <row r="478" spans="1:7" hidden="1" x14ac:dyDescent="0.25">
      <c r="B478" s="124"/>
      <c r="C478" s="34"/>
      <c r="D478" s="34"/>
      <c r="E478" s="34"/>
      <c r="F478" s="34"/>
      <c r="G478" s="34"/>
    </row>
    <row r="479" spans="1:7" hidden="1" x14ac:dyDescent="0.25">
      <c r="B479" s="124"/>
      <c r="C479" s="34"/>
      <c r="D479" s="34"/>
      <c r="E479" s="34"/>
      <c r="F479" s="34"/>
      <c r="G479" s="34"/>
    </row>
    <row r="480" spans="1:7" hidden="1" x14ac:dyDescent="0.25">
      <c r="B480" s="124"/>
      <c r="C480" s="34"/>
      <c r="D480" s="34"/>
      <c r="E480" s="34"/>
      <c r="F480" s="34"/>
      <c r="G480" s="34"/>
    </row>
    <row r="481" spans="2:7" hidden="1" x14ac:dyDescent="0.25">
      <c r="B481" s="124"/>
      <c r="C481" s="34"/>
      <c r="D481" s="34"/>
      <c r="E481" s="34"/>
      <c r="F481" s="34"/>
      <c r="G481" s="34"/>
    </row>
    <row r="482" spans="2:7" hidden="1" x14ac:dyDescent="0.25">
      <c r="B482" s="124"/>
      <c r="C482" s="34"/>
      <c r="D482" s="34"/>
      <c r="E482" s="34"/>
      <c r="F482" s="34"/>
      <c r="G482" s="34"/>
    </row>
    <row r="483" spans="2:7" hidden="1" x14ac:dyDescent="0.25">
      <c r="B483" s="124"/>
      <c r="C483" s="34"/>
      <c r="D483" s="34"/>
      <c r="E483" s="34"/>
      <c r="F483" s="34"/>
      <c r="G483" s="34"/>
    </row>
    <row r="484" spans="2:7" hidden="1" x14ac:dyDescent="0.25">
      <c r="B484" s="124"/>
      <c r="C484" s="34"/>
      <c r="D484" s="34"/>
      <c r="E484" s="34"/>
      <c r="F484" s="34"/>
      <c r="G484" s="34"/>
    </row>
    <row r="485" spans="2:7" hidden="1" x14ac:dyDescent="0.25">
      <c r="B485" s="124"/>
      <c r="C485" s="34"/>
      <c r="D485" s="34"/>
      <c r="E485" s="34"/>
      <c r="F485" s="34"/>
      <c r="G485" s="34"/>
    </row>
    <row r="486" spans="2:7" hidden="1" x14ac:dyDescent="0.25">
      <c r="B486" s="124"/>
      <c r="C486" s="34"/>
      <c r="D486" s="34"/>
      <c r="E486" s="34"/>
      <c r="F486" s="34"/>
      <c r="G486" s="34"/>
    </row>
    <row r="487" spans="2:7" hidden="1" x14ac:dyDescent="0.25">
      <c r="B487" s="124"/>
      <c r="C487" s="34"/>
      <c r="D487" s="34"/>
      <c r="E487" s="34"/>
      <c r="F487" s="34"/>
      <c r="G487" s="34"/>
    </row>
    <row r="488" spans="2:7" hidden="1" x14ac:dyDescent="0.25">
      <c r="B488" s="124"/>
      <c r="C488" s="34"/>
      <c r="D488" s="34"/>
      <c r="E488" s="34"/>
      <c r="F488" s="34"/>
      <c r="G488" s="34"/>
    </row>
    <row r="489" spans="2:7" hidden="1" x14ac:dyDescent="0.25">
      <c r="B489" s="124"/>
      <c r="C489" s="34"/>
      <c r="D489" s="34"/>
      <c r="E489" s="34"/>
      <c r="F489" s="34"/>
      <c r="G489" s="34"/>
    </row>
    <row r="490" spans="2:7" hidden="1" x14ac:dyDescent="0.25">
      <c r="B490" s="124"/>
      <c r="C490" s="34"/>
      <c r="D490" s="34"/>
      <c r="E490" s="34"/>
      <c r="F490" s="34"/>
      <c r="G490" s="34"/>
    </row>
    <row r="491" spans="2:7" hidden="1" x14ac:dyDescent="0.25"/>
    <row r="492" spans="2:7" hidden="1" x14ac:dyDescent="0.25"/>
    <row r="493" spans="2:7" ht="57.75" customHeight="1" x14ac:dyDescent="0.25">
      <c r="B493" s="753" t="s">
        <v>877</v>
      </c>
      <c r="C493" s="754"/>
      <c r="D493" s="309"/>
      <c r="E493" s="225"/>
      <c r="G493" s="309" t="s">
        <v>128</v>
      </c>
    </row>
  </sheetData>
  <mergeCells count="23">
    <mergeCell ref="A435:G435"/>
    <mergeCell ref="F15:F16"/>
    <mergeCell ref="G15:G16"/>
    <mergeCell ref="A134:G134"/>
    <mergeCell ref="A215:G215"/>
    <mergeCell ref="A333:G333"/>
    <mergeCell ref="E15:E16"/>
    <mergeCell ref="B493:C493"/>
    <mergeCell ref="K29:L29"/>
    <mergeCell ref="C1:G1"/>
    <mergeCell ref="C2:G2"/>
    <mergeCell ref="C3:G3"/>
    <mergeCell ref="C4:G4"/>
    <mergeCell ref="A13:G13"/>
    <mergeCell ref="C6:G6"/>
    <mergeCell ref="C7:G7"/>
    <mergeCell ref="A11:G11"/>
    <mergeCell ref="B8:G8"/>
    <mergeCell ref="A12:G12"/>
    <mergeCell ref="A18:G18"/>
    <mergeCell ref="A15:A16"/>
    <mergeCell ref="B15:B16"/>
    <mergeCell ref="D15:D16"/>
  </mergeCells>
  <phoneticPr fontId="81" type="noConversion"/>
  <pageMargins left="0.70866141732283472" right="0.70866141732283472" top="0.74803149606299213" bottom="0.74803149606299213" header="0.31496062992125984" footer="0.31496062992125984"/>
  <pageSetup paperSize="9" scale="50" fitToHeight="0" orientation="portrait" horizontalDpi="4294967295" verticalDpi="4294967295" r:id="rId1"/>
  <headerFooter scaleWithDoc="0"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4"/>
  <sheetViews>
    <sheetView topLeftCell="A17" zoomScaleNormal="100" workbookViewId="0">
      <selection activeCell="G27" sqref="G27:I27"/>
    </sheetView>
  </sheetViews>
  <sheetFormatPr defaultRowHeight="15.75" outlineLevelRow="1" x14ac:dyDescent="0.25"/>
  <cols>
    <col min="1" max="1" width="6.7109375" style="4" customWidth="1"/>
    <col min="2" max="2" width="62.42578125" style="4" bestFit="1" customWidth="1"/>
    <col min="3" max="3" width="10.7109375" style="4" bestFit="1" customWidth="1"/>
    <col min="4" max="4" width="14.7109375" style="4" hidden="1" customWidth="1"/>
    <col min="5" max="9" width="14.7109375" style="4" customWidth="1"/>
    <col min="10" max="10" width="21.85546875" style="4" customWidth="1"/>
    <col min="11" max="11" width="14.140625" style="3" customWidth="1"/>
    <col min="12" max="12" width="13.7109375" style="3" customWidth="1"/>
    <col min="13" max="13" width="12.42578125" style="4" customWidth="1"/>
    <col min="14" max="14" width="14" style="4" customWidth="1"/>
    <col min="15" max="16" width="14.7109375" style="4" customWidth="1"/>
    <col min="17" max="16384" width="9.140625" style="4"/>
  </cols>
  <sheetData>
    <row r="1" spans="1:16" outlineLevel="1" x14ac:dyDescent="0.25">
      <c r="D1" s="757" t="s">
        <v>264</v>
      </c>
      <c r="E1" s="758"/>
      <c r="F1" s="758"/>
      <c r="G1" s="758"/>
      <c r="H1" s="128"/>
      <c r="I1" s="128"/>
      <c r="J1" s="128"/>
    </row>
    <row r="2" spans="1:16" outlineLevel="1" x14ac:dyDescent="0.25">
      <c r="D2" s="757" t="s">
        <v>135</v>
      </c>
      <c r="E2" s="758"/>
      <c r="F2" s="758"/>
      <c r="G2" s="758"/>
      <c r="H2" s="128"/>
      <c r="I2" s="128"/>
      <c r="J2" s="128"/>
    </row>
    <row r="3" spans="1:16" outlineLevel="1" x14ac:dyDescent="0.25">
      <c r="D3" s="757" t="s">
        <v>125</v>
      </c>
      <c r="E3" s="758"/>
      <c r="F3" s="758"/>
      <c r="G3" s="758"/>
      <c r="H3" s="128"/>
      <c r="I3" s="128"/>
      <c r="J3" s="128"/>
    </row>
    <row r="4" spans="1:16" outlineLevel="1" x14ac:dyDescent="0.25">
      <c r="D4" s="757" t="s">
        <v>424</v>
      </c>
      <c r="E4" s="758"/>
      <c r="F4" s="758"/>
      <c r="G4" s="758"/>
      <c r="H4" s="128"/>
      <c r="I4" s="128"/>
      <c r="J4" s="128"/>
    </row>
    <row r="5" spans="1:16" outlineLevel="1" x14ac:dyDescent="0.25">
      <c r="D5" s="3"/>
      <c r="E5" s="128"/>
      <c r="F5" s="128"/>
      <c r="G5" s="128"/>
      <c r="H5" s="128"/>
      <c r="I5" s="128"/>
      <c r="J5" s="128"/>
    </row>
    <row r="6" spans="1:16" outlineLevel="1" x14ac:dyDescent="0.25">
      <c r="D6" s="3"/>
      <c r="E6" s="128"/>
      <c r="F6" s="128"/>
      <c r="G6" s="128"/>
      <c r="H6" s="128"/>
      <c r="I6" s="128"/>
      <c r="J6" s="128"/>
    </row>
    <row r="7" spans="1:16" ht="19.5" customHeight="1" outlineLevel="1" x14ac:dyDescent="0.25">
      <c r="C7" s="651" t="s">
        <v>89</v>
      </c>
      <c r="D7" s="651"/>
      <c r="E7" s="651"/>
      <c r="F7" s="651"/>
      <c r="G7" s="651"/>
      <c r="H7" s="223"/>
      <c r="I7" s="223"/>
      <c r="J7" s="223"/>
    </row>
    <row r="8" spans="1:16" ht="19.5" customHeight="1" outlineLevel="1" x14ac:dyDescent="0.25">
      <c r="A8" s="5"/>
      <c r="C8" s="759" t="s">
        <v>145</v>
      </c>
      <c r="D8" s="651"/>
      <c r="E8" s="651"/>
      <c r="F8" s="651"/>
      <c r="G8" s="651"/>
      <c r="H8" s="775"/>
      <c r="I8" s="223"/>
      <c r="J8" s="223"/>
    </row>
    <row r="9" spans="1:16" ht="19.5" customHeight="1" outlineLevel="1" x14ac:dyDescent="0.25">
      <c r="A9" s="5"/>
      <c r="C9" s="759" t="s">
        <v>87</v>
      </c>
      <c r="D9" s="651"/>
      <c r="E9" s="651"/>
      <c r="F9" s="651"/>
      <c r="G9" s="651"/>
      <c r="H9" s="775"/>
      <c r="I9" s="223"/>
      <c r="J9" s="223"/>
    </row>
    <row r="10" spans="1:16" ht="19.5" customHeight="1" outlineLevel="1" x14ac:dyDescent="0.25">
      <c r="A10" s="5"/>
      <c r="C10" s="651"/>
      <c r="D10" s="651"/>
      <c r="E10" s="651"/>
      <c r="F10" s="651"/>
      <c r="G10" s="651"/>
      <c r="H10" s="223"/>
      <c r="I10" s="223"/>
      <c r="J10" s="223"/>
    </row>
    <row r="11" spans="1:16" x14ac:dyDescent="0.25">
      <c r="A11" s="1"/>
    </row>
    <row r="12" spans="1:16" ht="21" customHeight="1" x14ac:dyDescent="0.25">
      <c r="A12" s="757"/>
      <c r="B12" s="757"/>
      <c r="C12" s="757"/>
      <c r="D12" s="757"/>
      <c r="E12" s="757"/>
      <c r="F12" s="757"/>
      <c r="G12" s="757"/>
      <c r="H12" s="3"/>
      <c r="I12" s="3"/>
      <c r="J12" s="3"/>
    </row>
    <row r="13" spans="1:16" ht="21" customHeight="1" x14ac:dyDescent="0.25">
      <c r="A13" s="651" t="s">
        <v>98</v>
      </c>
      <c r="B13" s="651"/>
      <c r="C13" s="651"/>
      <c r="D13" s="651"/>
      <c r="E13" s="651"/>
      <c r="F13" s="651"/>
      <c r="G13" s="651"/>
      <c r="H13" s="223"/>
      <c r="I13" s="223"/>
      <c r="J13" s="223"/>
      <c r="O13" s="4">
        <f>79132+59760</f>
        <v>138892</v>
      </c>
    </row>
    <row r="14" spans="1:16" x14ac:dyDescent="0.25">
      <c r="A14" s="3"/>
    </row>
    <row r="15" spans="1:16" ht="18" customHeight="1" x14ac:dyDescent="0.25">
      <c r="A15" s="772" t="s">
        <v>90</v>
      </c>
      <c r="B15" s="772" t="s">
        <v>91</v>
      </c>
      <c r="C15" s="772" t="s">
        <v>92</v>
      </c>
      <c r="D15" s="772" t="s">
        <v>93</v>
      </c>
      <c r="E15" s="773"/>
      <c r="F15" s="773"/>
      <c r="G15" s="773"/>
      <c r="H15" s="774"/>
      <c r="I15" s="774"/>
      <c r="J15" s="59"/>
      <c r="M15" s="3"/>
      <c r="N15" s="3"/>
      <c r="O15" s="3"/>
      <c r="P15" s="3"/>
    </row>
    <row r="16" spans="1:16" ht="42" customHeight="1" x14ac:dyDescent="0.25">
      <c r="A16" s="772"/>
      <c r="B16" s="772"/>
      <c r="C16" s="772"/>
      <c r="D16" s="122" t="s">
        <v>112</v>
      </c>
      <c r="E16" s="122" t="s">
        <v>6</v>
      </c>
      <c r="F16" s="122" t="s">
        <v>18</v>
      </c>
      <c r="G16" s="122" t="s">
        <v>19</v>
      </c>
      <c r="H16" s="122" t="s">
        <v>20</v>
      </c>
      <c r="I16" s="122" t="s">
        <v>21</v>
      </c>
      <c r="J16" s="227"/>
      <c r="L16" s="130"/>
    </row>
    <row r="17" spans="1:16" ht="18.75" x14ac:dyDescent="0.25">
      <c r="A17" s="122">
        <v>1</v>
      </c>
      <c r="B17" s="122">
        <v>2</v>
      </c>
      <c r="C17" s="122">
        <v>3</v>
      </c>
      <c r="D17" s="122">
        <v>4</v>
      </c>
      <c r="E17" s="122">
        <v>5</v>
      </c>
      <c r="F17" s="122">
        <v>6</v>
      </c>
      <c r="G17" s="122">
        <v>7</v>
      </c>
      <c r="H17" s="122">
        <v>8</v>
      </c>
      <c r="I17" s="122">
        <v>9</v>
      </c>
      <c r="J17" s="227"/>
      <c r="L17" s="131"/>
      <c r="M17" s="131"/>
      <c r="N17" s="131"/>
      <c r="O17" s="131"/>
      <c r="P17" s="131"/>
    </row>
    <row r="18" spans="1:16" ht="37.5" x14ac:dyDescent="0.3">
      <c r="A18" s="132">
        <v>1</v>
      </c>
      <c r="B18" s="133" t="s">
        <v>142</v>
      </c>
      <c r="C18" s="21" t="s">
        <v>94</v>
      </c>
      <c r="D18" s="64">
        <v>336584</v>
      </c>
      <c r="E18" s="64">
        <f>SUM('целевые показатели'!F44:F55,'целевые показатели'!F142:F144)</f>
        <v>169644.1</v>
      </c>
      <c r="F18" s="64">
        <f>SUM('целевые показатели'!F119,'целевые показатели'!F145:F147,'целевые показатели'!F155:F156,'целевые показатели'!F245:F251,'целевые показатели'!F257:F262)</f>
        <v>220540</v>
      </c>
      <c r="G18" s="64">
        <f>SUM('целевые показатели'!F148:F148,'целевые показатели'!F252:F252,'целевые показатели'!F263:F318,'целевые показатели'!F60:F153)</f>
        <v>849963</v>
      </c>
      <c r="H18" s="64">
        <f>SUM('целевые показатели'!F328:F385,'целевые показатели'!F158:F158,'целевые показатели'!F253)</f>
        <v>186426</v>
      </c>
      <c r="I18" s="64">
        <f>SUM('целевые показатели'!F157,'целевые показатели'!F254:F256,'целевые показатели'!F386:F397)</f>
        <v>142252.4</v>
      </c>
      <c r="J18" s="449">
        <f>SUM(E18:I18)</f>
        <v>1568825.5</v>
      </c>
      <c r="K18" s="173">
        <f>'целевые показатели'!F42+'целевые показатели'!F140+'целевые показатели'!F242</f>
        <v>1083095.1600000001</v>
      </c>
      <c r="L18" s="173">
        <f>J18-K18</f>
        <v>485730.33999999985</v>
      </c>
      <c r="M18" s="58"/>
      <c r="N18" s="58"/>
      <c r="O18" s="58"/>
      <c r="P18" s="58"/>
    </row>
    <row r="19" spans="1:16" ht="37.5" x14ac:dyDescent="0.3">
      <c r="A19" s="132">
        <v>2</v>
      </c>
      <c r="B19" s="133" t="s">
        <v>137</v>
      </c>
      <c r="C19" s="21" t="s">
        <v>94</v>
      </c>
      <c r="D19" s="64">
        <v>80000</v>
      </c>
      <c r="E19" s="64">
        <v>40000</v>
      </c>
      <c r="F19" s="64">
        <v>40000</v>
      </c>
      <c r="G19" s="64">
        <v>40000</v>
      </c>
      <c r="H19" s="64">
        <v>40000</v>
      </c>
      <c r="I19" s="64">
        <v>40000</v>
      </c>
      <c r="J19" s="450"/>
      <c r="K19" s="58"/>
      <c r="M19" s="3"/>
      <c r="N19" s="3"/>
      <c r="O19" s="134"/>
      <c r="P19" s="130"/>
    </row>
    <row r="20" spans="1:16" ht="115.5" customHeight="1" x14ac:dyDescent="0.3">
      <c r="A20" s="132">
        <v>3</v>
      </c>
      <c r="B20" s="133" t="s">
        <v>143</v>
      </c>
      <c r="C20" s="21" t="s">
        <v>105</v>
      </c>
      <c r="D20" s="57">
        <f>SUM(C38:C39)</f>
        <v>28.045999999999999</v>
      </c>
      <c r="E20" s="57">
        <f>SUM('целевые показатели'!G45:G55,'целевые показатели'!G142:G144)</f>
        <v>14.6</v>
      </c>
      <c r="F20" s="218">
        <f>SUM('целевые показатели'!G119,'целевые показатели'!G145:G147,'целевые показатели'!G155:G156,'целевые показатели'!G245:G251,'целевые показатели'!G257:G262)</f>
        <v>24.007999999999999</v>
      </c>
      <c r="G20" s="57">
        <f>SUM('целевые показатели'!G148:G148,'целевые показатели'!G252:G252,'целевые показатели'!G263:G318,'целевые показатели'!G60:G153)</f>
        <v>64.363700000000023</v>
      </c>
      <c r="H20" s="57">
        <f>SUM('целевые показатели'!G158:G158,'целевые показатели'!G328:G385)</f>
        <v>35.583999999999996</v>
      </c>
      <c r="I20" s="57">
        <f>SUM('целевые показатели'!G386:G397,'целевые показатели'!G254:G256,'целевые показатели'!G157)</f>
        <v>11.244400000000001</v>
      </c>
      <c r="J20" s="451">
        <f>SUM(E20:I20)</f>
        <v>149.80010000000004</v>
      </c>
      <c r="K20" s="3">
        <f>'целевые показатели'!F43+'целевые показатели'!F141+'целевые показатели'!F243</f>
        <v>148.24730000000005</v>
      </c>
      <c r="L20" s="135">
        <f>SUM(E20:I20)</f>
        <v>149.80010000000004</v>
      </c>
      <c r="M20" s="136">
        <f>(L20+L21)/461.3</f>
        <v>0.3247346629091698</v>
      </c>
      <c r="N20" s="1" t="s">
        <v>273</v>
      </c>
    </row>
    <row r="21" spans="1:16" ht="62.25" customHeight="1" x14ac:dyDescent="0.3">
      <c r="A21" s="132">
        <v>4</v>
      </c>
      <c r="B21" s="133" t="s">
        <v>97</v>
      </c>
      <c r="C21" s="21" t="s">
        <v>96</v>
      </c>
      <c r="D21" s="21">
        <v>18</v>
      </c>
      <c r="E21" s="21">
        <v>200</v>
      </c>
      <c r="F21" s="21">
        <v>0</v>
      </c>
      <c r="G21" s="21">
        <v>0</v>
      </c>
      <c r="H21" s="21">
        <v>0</v>
      </c>
      <c r="I21" s="64">
        <v>0</v>
      </c>
      <c r="J21" s="450"/>
      <c r="K21" s="130"/>
      <c r="L21" s="134"/>
      <c r="M21" s="137"/>
    </row>
    <row r="22" spans="1:16" ht="75" hidden="1" outlineLevel="1" x14ac:dyDescent="0.3">
      <c r="A22" s="132">
        <v>5</v>
      </c>
      <c r="B22" s="133" t="s">
        <v>106</v>
      </c>
      <c r="C22" s="21" t="s">
        <v>105</v>
      </c>
      <c r="D22" s="21"/>
      <c r="E22" s="21"/>
      <c r="F22" s="219"/>
      <c r="G22" s="21"/>
      <c r="H22" s="223"/>
      <c r="I22" s="223"/>
      <c r="J22" s="223"/>
    </row>
    <row r="23" spans="1:16" collapsed="1" x14ac:dyDescent="0.25"/>
    <row r="24" spans="1:16" x14ac:dyDescent="0.25">
      <c r="G24" s="117"/>
    </row>
    <row r="25" spans="1:16" s="46" customFormat="1" ht="21" x14ac:dyDescent="0.35">
      <c r="A25" s="46" t="s">
        <v>878</v>
      </c>
      <c r="D25" s="47"/>
      <c r="E25" s="47"/>
      <c r="F25" s="47"/>
      <c r="K25" s="127"/>
      <c r="L25" s="127"/>
    </row>
    <row r="26" spans="1:16" s="46" customFormat="1" ht="20.25" x14ac:dyDescent="0.3">
      <c r="A26" s="46" t="s">
        <v>127</v>
      </c>
      <c r="E26" s="771"/>
      <c r="F26" s="771"/>
      <c r="K26" s="127"/>
      <c r="L26" s="127"/>
    </row>
    <row r="27" spans="1:16" s="46" customFormat="1" ht="20.25" x14ac:dyDescent="0.3">
      <c r="A27" s="46" t="s">
        <v>125</v>
      </c>
      <c r="E27" s="771"/>
      <c r="F27" s="771"/>
      <c r="G27" s="776" t="s">
        <v>128</v>
      </c>
      <c r="H27" s="776"/>
      <c r="I27" s="777"/>
      <c r="J27" s="226"/>
      <c r="K27" s="127"/>
      <c r="L27" s="127"/>
    </row>
    <row r="28" spans="1:16" ht="18.75" x14ac:dyDescent="0.3">
      <c r="A28" s="2"/>
      <c r="B28" s="2"/>
      <c r="C28" s="2"/>
      <c r="D28" s="9"/>
      <c r="E28" s="778"/>
      <c r="F28" s="778"/>
    </row>
    <row r="29" spans="1:16" ht="18.75" x14ac:dyDescent="0.3">
      <c r="A29" s="2"/>
      <c r="B29" s="2"/>
      <c r="C29" s="2"/>
      <c r="D29" s="9"/>
      <c r="E29" s="129"/>
      <c r="F29" s="129"/>
    </row>
    <row r="31" spans="1:16" x14ac:dyDescent="0.25">
      <c r="B31" s="4" t="s">
        <v>113</v>
      </c>
    </row>
    <row r="33" spans="2:13" x14ac:dyDescent="0.25">
      <c r="B33" s="4" t="s">
        <v>117</v>
      </c>
    </row>
    <row r="35" spans="2:13" x14ac:dyDescent="0.25">
      <c r="B35" s="138" t="s">
        <v>115</v>
      </c>
    </row>
    <row r="36" spans="2:13" x14ac:dyDescent="0.25">
      <c r="B36" s="4" t="s">
        <v>116</v>
      </c>
    </row>
    <row r="37" spans="2:13" x14ac:dyDescent="0.25">
      <c r="B37" s="139" t="s">
        <v>122</v>
      </c>
      <c r="C37" s="123">
        <v>86.367999999999995</v>
      </c>
    </row>
    <row r="38" spans="2:13" x14ac:dyDescent="0.25">
      <c r="B38" s="139" t="s">
        <v>120</v>
      </c>
      <c r="C38" s="123">
        <v>11.249000000000001</v>
      </c>
    </row>
    <row r="39" spans="2:13" x14ac:dyDescent="0.25">
      <c r="B39" s="139" t="s">
        <v>121</v>
      </c>
      <c r="C39" s="123">
        <v>16.797000000000001</v>
      </c>
      <c r="D39" s="123">
        <f>C37+C38+C39</f>
        <v>114.41399999999999</v>
      </c>
    </row>
    <row r="41" spans="2:13" x14ac:dyDescent="0.25">
      <c r="B41" s="139" t="s">
        <v>123</v>
      </c>
      <c r="C41" s="123">
        <f>'прил.4 файл не рабочий'!F14</f>
        <v>4.7299999999999995</v>
      </c>
    </row>
    <row r="42" spans="2:13" x14ac:dyDescent="0.25">
      <c r="B42" s="139" t="s">
        <v>124</v>
      </c>
      <c r="C42" s="123">
        <f>'прил.4 файл не рабочий'!G14</f>
        <v>4.8950000000000005</v>
      </c>
      <c r="D42" s="123">
        <f>D39+C41+C42</f>
        <v>124.03899999999999</v>
      </c>
      <c r="E42" s="123" t="s">
        <v>118</v>
      </c>
    </row>
    <row r="43" spans="2:13" x14ac:dyDescent="0.25">
      <c r="C43" s="140">
        <f>(C41+C42)/461.3</f>
        <v>2.0864946889226101E-2</v>
      </c>
      <c r="D43" s="4" t="s">
        <v>119</v>
      </c>
    </row>
    <row r="45" spans="2:13" x14ac:dyDescent="0.25">
      <c r="C45" s="4">
        <f>461.3-114.414</f>
        <v>346.88600000000002</v>
      </c>
      <c r="D45" s="4" t="s">
        <v>240</v>
      </c>
      <c r="L45" s="3">
        <v>2021</v>
      </c>
      <c r="M45" s="141">
        <f>(474-C45)/474</f>
        <v>0.26817299578059067</v>
      </c>
    </row>
    <row r="46" spans="2:13" x14ac:dyDescent="0.25">
      <c r="C46" s="4">
        <f>C45-C41-C42</f>
        <v>337.26100000000002</v>
      </c>
      <c r="D46" s="4" t="s">
        <v>239</v>
      </c>
      <c r="L46" s="3">
        <v>2022</v>
      </c>
      <c r="M46" s="141">
        <f>(474-C46)/474</f>
        <v>0.28847890295358647</v>
      </c>
    </row>
    <row r="47" spans="2:13" x14ac:dyDescent="0.25">
      <c r="C47" s="4">
        <f>C46-C50-C51</f>
        <v>331.601</v>
      </c>
      <c r="D47" s="4" t="s">
        <v>241</v>
      </c>
      <c r="L47" s="3">
        <v>2023</v>
      </c>
      <c r="M47" s="141">
        <f>(474-C47)/474</f>
        <v>0.3004198312236287</v>
      </c>
    </row>
    <row r="48" spans="2:13" x14ac:dyDescent="0.25">
      <c r="C48" s="4" t="e">
        <f>C47-C53-C54</f>
        <v>#REF!</v>
      </c>
      <c r="D48" s="4" t="s">
        <v>242</v>
      </c>
      <c r="L48" s="3">
        <v>2024</v>
      </c>
      <c r="M48" s="141" t="e">
        <f>(474-C48)/474</f>
        <v>#REF!</v>
      </c>
    </row>
    <row r="50" spans="2:3" x14ac:dyDescent="0.25">
      <c r="B50" s="139" t="s">
        <v>235</v>
      </c>
      <c r="C50" s="4">
        <f>SUM('целевые показатели'!G119:G120)</f>
        <v>1.72</v>
      </c>
    </row>
    <row r="51" spans="2:3" x14ac:dyDescent="0.25">
      <c r="B51" s="139" t="s">
        <v>236</v>
      </c>
      <c r="C51" s="4">
        <f>SUM('целевые показатели'!G145:G146)</f>
        <v>3.9400000000000004</v>
      </c>
    </row>
    <row r="53" spans="2:3" x14ac:dyDescent="0.25">
      <c r="B53" s="139" t="s">
        <v>237</v>
      </c>
      <c r="C53" s="4" t="e">
        <f>SUM('целевые показатели'!#REF!)</f>
        <v>#REF!</v>
      </c>
    </row>
    <row r="54" spans="2:3" x14ac:dyDescent="0.25">
      <c r="B54" s="139" t="s">
        <v>238</v>
      </c>
      <c r="C54" s="4">
        <f>SUM('целевые показатели'!G147:G157)</f>
        <v>12.365000000000002</v>
      </c>
    </row>
  </sheetData>
  <mergeCells count="18">
    <mergeCell ref="G27:I27"/>
    <mergeCell ref="E28:F28"/>
    <mergeCell ref="A15:A16"/>
    <mergeCell ref="B15:B16"/>
    <mergeCell ref="C15:C16"/>
    <mergeCell ref="E27:F27"/>
    <mergeCell ref="D1:G1"/>
    <mergeCell ref="D2:G2"/>
    <mergeCell ref="D3:G3"/>
    <mergeCell ref="D4:G4"/>
    <mergeCell ref="E26:F26"/>
    <mergeCell ref="C7:G7"/>
    <mergeCell ref="A12:G12"/>
    <mergeCell ref="A13:G13"/>
    <mergeCell ref="C10:G10"/>
    <mergeCell ref="D15:I15"/>
    <mergeCell ref="C8:H8"/>
    <mergeCell ref="C9:H9"/>
  </mergeCells>
  <pageMargins left="0.70866141732283472" right="0.70866141732283472" top="0.74803149606299213" bottom="0.74803149606299213" header="0.31496062992125984" footer="0.31496062992125984"/>
  <pageSetup paperSize="9" scale="56" orientation="portrait" horizontalDpi="4294967295" verticalDpi="4294967295"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H15"/>
  <sheetViews>
    <sheetView topLeftCell="A16" zoomScaleNormal="100" workbookViewId="0">
      <selection activeCell="B14" sqref="B14"/>
    </sheetView>
  </sheetViews>
  <sheetFormatPr defaultRowHeight="15.75" x14ac:dyDescent="0.25"/>
  <cols>
    <col min="1" max="1" width="9.140625" style="166"/>
    <col min="2" max="2" width="83.7109375" style="124" customWidth="1"/>
    <col min="3" max="4" width="16.7109375" style="166" customWidth="1"/>
    <col min="5" max="5" width="19.85546875" style="166" customWidth="1"/>
    <col min="6" max="8" width="9.140625" style="166"/>
    <col min="9" max="16384" width="9.140625" style="124"/>
  </cols>
  <sheetData>
    <row r="5" spans="1:5" ht="22.5" customHeight="1" x14ac:dyDescent="0.25">
      <c r="B5" s="759" t="s">
        <v>513</v>
      </c>
      <c r="C5" s="781"/>
      <c r="D5" s="781"/>
      <c r="E5" s="781"/>
    </row>
    <row r="6" spans="1:5" ht="22.5" customHeight="1" x14ac:dyDescent="0.25">
      <c r="B6" s="168"/>
      <c r="C6" s="59"/>
      <c r="D6" s="59"/>
      <c r="E6" s="59"/>
    </row>
    <row r="7" spans="1:5" x14ac:dyDescent="0.25">
      <c r="C7" s="166" t="s">
        <v>509</v>
      </c>
      <c r="D7" s="125" t="s">
        <v>508</v>
      </c>
      <c r="E7" s="125"/>
    </row>
    <row r="8" spans="1:5" ht="21" customHeight="1" x14ac:dyDescent="0.25">
      <c r="A8" s="126"/>
      <c r="B8" s="126" t="s">
        <v>376</v>
      </c>
      <c r="C8" s="126">
        <v>2023</v>
      </c>
      <c r="D8" s="126">
        <v>2024</v>
      </c>
      <c r="E8" s="126" t="s">
        <v>512</v>
      </c>
    </row>
    <row r="9" spans="1:5" ht="57" customHeight="1" x14ac:dyDescent="0.25">
      <c r="A9" s="126" t="s">
        <v>243</v>
      </c>
      <c r="B9" s="18" t="s">
        <v>148</v>
      </c>
      <c r="C9" s="167">
        <v>718642.9</v>
      </c>
      <c r="D9" s="167">
        <v>500000</v>
      </c>
      <c r="E9" s="126"/>
    </row>
    <row r="10" spans="1:5" ht="31.5" x14ac:dyDescent="0.25">
      <c r="A10" s="126" t="s">
        <v>244</v>
      </c>
      <c r="B10" s="18" t="s">
        <v>15</v>
      </c>
      <c r="C10" s="779">
        <v>369047.3</v>
      </c>
      <c r="D10" s="779">
        <v>349817.2</v>
      </c>
      <c r="E10" s="779"/>
    </row>
    <row r="11" spans="1:5" ht="31.5" x14ac:dyDescent="0.25">
      <c r="A11" s="126" t="s">
        <v>375</v>
      </c>
      <c r="B11" s="18" t="s">
        <v>292</v>
      </c>
      <c r="C11" s="780"/>
      <c r="D11" s="780"/>
      <c r="E11" s="780"/>
    </row>
    <row r="12" spans="1:5" ht="63" x14ac:dyDescent="0.25">
      <c r="A12" s="126" t="s">
        <v>245</v>
      </c>
      <c r="B12" s="18" t="s">
        <v>425</v>
      </c>
      <c r="C12" s="167">
        <v>286882.7</v>
      </c>
      <c r="D12" s="167">
        <v>0</v>
      </c>
      <c r="E12" s="126"/>
    </row>
    <row r="13" spans="1:5" ht="21" customHeight="1" x14ac:dyDescent="0.25">
      <c r="A13" s="126" t="s">
        <v>245</v>
      </c>
      <c r="B13" s="18" t="s">
        <v>510</v>
      </c>
      <c r="C13" s="167">
        <v>303516.31757999997</v>
      </c>
      <c r="D13" s="167">
        <v>0</v>
      </c>
      <c r="E13" s="126"/>
    </row>
    <row r="14" spans="1:5" ht="78.75" x14ac:dyDescent="0.25">
      <c r="A14" s="126" t="s">
        <v>247</v>
      </c>
      <c r="B14" s="18" t="s">
        <v>12</v>
      </c>
      <c r="C14" s="167">
        <v>149100</v>
      </c>
      <c r="D14" s="167">
        <v>0</v>
      </c>
      <c r="E14" s="126"/>
    </row>
    <row r="15" spans="1:5" ht="21" customHeight="1" x14ac:dyDescent="0.25">
      <c r="A15" s="126" t="s">
        <v>511</v>
      </c>
      <c r="B15" s="18" t="s">
        <v>138</v>
      </c>
      <c r="C15" s="167">
        <v>1423632.5</v>
      </c>
      <c r="D15" s="167">
        <v>395980</v>
      </c>
      <c r="E15" s="126"/>
    </row>
  </sheetData>
  <mergeCells count="4">
    <mergeCell ref="C10:C11"/>
    <mergeCell ref="D10:D11"/>
    <mergeCell ref="E10:E11"/>
    <mergeCell ref="B5:E5"/>
  </mergeCells>
  <pageMargins left="0.7" right="0.7" top="0.75" bottom="0.75" header="0.3" footer="0.3"/>
  <pageSetup paperSize="9" scale="89"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X134"/>
  <sheetViews>
    <sheetView workbookViewId="0">
      <selection activeCell="C12" sqref="C12"/>
    </sheetView>
  </sheetViews>
  <sheetFormatPr defaultRowHeight="15" x14ac:dyDescent="0.25"/>
  <cols>
    <col min="1" max="1" width="9.140625" style="17"/>
    <col min="2" max="2" width="6.7109375" style="17" customWidth="1"/>
    <col min="3" max="3" width="64.7109375" style="17" customWidth="1"/>
    <col min="4" max="4" width="22" style="204" bestFit="1" customWidth="1"/>
    <col min="5" max="5" width="23.7109375" style="17" customWidth="1"/>
    <col min="6" max="6" width="16" style="17" bestFit="1" customWidth="1"/>
    <col min="7" max="7" width="11.42578125" style="17" bestFit="1" customWidth="1"/>
    <col min="8" max="16384" width="9.140625" style="17"/>
  </cols>
  <sheetData>
    <row r="2" spans="1:76" ht="28.5" customHeight="1" x14ac:dyDescent="0.25">
      <c r="B2" s="788" t="s">
        <v>652</v>
      </c>
      <c r="C2" s="788"/>
      <c r="D2" s="788"/>
      <c r="E2" s="788"/>
      <c r="F2" s="788"/>
    </row>
    <row r="4" spans="1:76" s="176" customFormat="1" ht="16.5" x14ac:dyDescent="0.25">
      <c r="A4" s="17"/>
      <c r="B4" s="789">
        <v>2023</v>
      </c>
      <c r="C4" s="790"/>
      <c r="D4" s="790"/>
      <c r="E4" s="790"/>
      <c r="F4" s="791"/>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row>
    <row r="5" spans="1:76" s="176" customFormat="1" ht="33" x14ac:dyDescent="0.25">
      <c r="A5" s="17"/>
      <c r="B5" s="182" t="s">
        <v>37</v>
      </c>
      <c r="C5" s="182" t="s">
        <v>459</v>
      </c>
      <c r="D5" s="212" t="s">
        <v>650</v>
      </c>
      <c r="E5" s="182" t="s">
        <v>651</v>
      </c>
      <c r="F5" s="189" t="s">
        <v>512</v>
      </c>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row>
    <row r="6" spans="1:76" s="176" customFormat="1" ht="33" customHeight="1" x14ac:dyDescent="0.25">
      <c r="A6" s="17"/>
      <c r="B6" s="185">
        <v>1</v>
      </c>
      <c r="C6" s="175" t="s">
        <v>613</v>
      </c>
      <c r="D6" s="179">
        <v>1200</v>
      </c>
      <c r="E6" s="186">
        <f t="shared" ref="E6:E11" si="0">D6*4.5/1000*1753718.9</f>
        <v>9470082.0600000005</v>
      </c>
      <c r="F6" s="18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row>
    <row r="7" spans="1:76" s="176" customFormat="1" ht="33" customHeight="1" x14ac:dyDescent="0.25">
      <c r="A7" s="17"/>
      <c r="B7" s="185">
        <v>2</v>
      </c>
      <c r="C7" s="175" t="s">
        <v>612</v>
      </c>
      <c r="D7" s="179">
        <v>1200</v>
      </c>
      <c r="E7" s="186">
        <f t="shared" si="0"/>
        <v>9470082.0600000005</v>
      </c>
      <c r="F7" s="18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row>
    <row r="8" spans="1:76" s="176" customFormat="1" ht="33" customHeight="1" x14ac:dyDescent="0.25">
      <c r="A8" s="17"/>
      <c r="B8" s="185">
        <v>3</v>
      </c>
      <c r="C8" s="175" t="s">
        <v>582</v>
      </c>
      <c r="D8" s="179">
        <v>1100</v>
      </c>
      <c r="E8" s="186">
        <f t="shared" si="0"/>
        <v>8680908.5549999997</v>
      </c>
      <c r="F8" s="18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row>
    <row r="9" spans="1:76" s="176" customFormat="1" ht="33" customHeight="1" x14ac:dyDescent="0.25">
      <c r="A9" s="17"/>
      <c r="B9" s="185">
        <v>4</v>
      </c>
      <c r="C9" s="175" t="s">
        <v>653</v>
      </c>
      <c r="D9" s="179">
        <v>1100</v>
      </c>
      <c r="E9" s="186">
        <f t="shared" si="0"/>
        <v>8680908.5549999997</v>
      </c>
      <c r="F9" s="18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row>
    <row r="10" spans="1:76" s="176" customFormat="1" ht="33" customHeight="1" x14ac:dyDescent="0.25">
      <c r="A10" s="17"/>
      <c r="B10" s="185">
        <v>5</v>
      </c>
      <c r="C10" s="175" t="s">
        <v>654</v>
      </c>
      <c r="D10" s="179">
        <v>1300</v>
      </c>
      <c r="E10" s="186">
        <f t="shared" si="0"/>
        <v>10259255.564999999</v>
      </c>
      <c r="F10" s="18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row>
    <row r="11" spans="1:76" s="176" customFormat="1" ht="33" customHeight="1" x14ac:dyDescent="0.25">
      <c r="A11" s="17"/>
      <c r="B11" s="185">
        <v>6</v>
      </c>
      <c r="C11" s="175" t="s">
        <v>875</v>
      </c>
      <c r="D11" s="179">
        <v>846</v>
      </c>
      <c r="E11" s="188">
        <f t="shared" si="0"/>
        <v>6676407.8522999994</v>
      </c>
      <c r="F11" s="18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row>
    <row r="12" spans="1:76" s="190" customFormat="1" ht="16.5" x14ac:dyDescent="0.25">
      <c r="A12" s="87"/>
      <c r="B12" s="189"/>
      <c r="C12" s="182" t="s">
        <v>481</v>
      </c>
      <c r="D12" s="183">
        <f>SUM(D6:D11)</f>
        <v>6746</v>
      </c>
      <c r="E12" s="184">
        <f>SUM(E6:E11)</f>
        <v>53237644.647300005</v>
      </c>
      <c r="F12" s="189"/>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row>
    <row r="13" spans="1:76" s="191" customFormat="1" ht="16.5" x14ac:dyDescent="0.25">
      <c r="A13" s="17"/>
      <c r="B13" s="782">
        <v>2024</v>
      </c>
      <c r="C13" s="783"/>
      <c r="D13" s="783"/>
      <c r="E13" s="783"/>
      <c r="F13" s="784"/>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row>
    <row r="14" spans="1:76" s="191" customFormat="1" ht="33" x14ac:dyDescent="0.25">
      <c r="A14" s="17"/>
      <c r="B14" s="192">
        <v>7</v>
      </c>
      <c r="C14" s="177" t="s">
        <v>580</v>
      </c>
      <c r="D14" s="180">
        <v>2000</v>
      </c>
      <c r="E14" s="193">
        <f t="shared" ref="E14:E22" si="1">D14*4.5/1000*1753718.9</f>
        <v>15783470.1</v>
      </c>
      <c r="F14" s="194"/>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row>
    <row r="15" spans="1:76" s="191" customFormat="1" ht="33" x14ac:dyDescent="0.25">
      <c r="A15" s="17"/>
      <c r="B15" s="192">
        <v>8</v>
      </c>
      <c r="C15" s="177" t="s">
        <v>579</v>
      </c>
      <c r="D15" s="180">
        <v>1800</v>
      </c>
      <c r="E15" s="193">
        <f t="shared" si="1"/>
        <v>14205123.089999998</v>
      </c>
      <c r="F15" s="194"/>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row>
    <row r="16" spans="1:76" s="191" customFormat="1" ht="33" customHeight="1" x14ac:dyDescent="0.25">
      <c r="A16" s="17"/>
      <c r="B16" s="192">
        <v>9</v>
      </c>
      <c r="C16" s="177" t="s">
        <v>570</v>
      </c>
      <c r="D16" s="180">
        <v>735</v>
      </c>
      <c r="E16" s="193">
        <f t="shared" si="1"/>
        <v>5800425.2617499996</v>
      </c>
      <c r="F16" s="194"/>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row>
    <row r="17" spans="1:76" s="191" customFormat="1" ht="33" x14ac:dyDescent="0.25">
      <c r="A17" s="17"/>
      <c r="B17" s="192">
        <v>10</v>
      </c>
      <c r="C17" s="177" t="s">
        <v>571</v>
      </c>
      <c r="D17" s="180">
        <v>334</v>
      </c>
      <c r="E17" s="193">
        <f t="shared" si="1"/>
        <v>2635839.5066999998</v>
      </c>
      <c r="F17" s="194"/>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row>
    <row r="18" spans="1:76" s="191" customFormat="1" ht="33" x14ac:dyDescent="0.25">
      <c r="A18" s="17"/>
      <c r="B18" s="192">
        <v>11</v>
      </c>
      <c r="C18" s="177" t="s">
        <v>573</v>
      </c>
      <c r="D18" s="180">
        <v>1100</v>
      </c>
      <c r="E18" s="193">
        <f t="shared" si="1"/>
        <v>8680908.5549999997</v>
      </c>
      <c r="F18" s="194"/>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row>
    <row r="19" spans="1:76" s="191" customFormat="1" ht="33" x14ac:dyDescent="0.25">
      <c r="A19" s="17"/>
      <c r="B19" s="192">
        <v>12</v>
      </c>
      <c r="C19" s="177" t="s">
        <v>575</v>
      </c>
      <c r="D19" s="180">
        <v>898</v>
      </c>
      <c r="E19" s="193">
        <f t="shared" si="1"/>
        <v>7086778.0749000004</v>
      </c>
      <c r="F19" s="194"/>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row>
    <row r="20" spans="1:76" s="191" customFormat="1" ht="33" x14ac:dyDescent="0.25">
      <c r="A20" s="17"/>
      <c r="B20" s="192">
        <v>13</v>
      </c>
      <c r="C20" s="177" t="s">
        <v>577</v>
      </c>
      <c r="D20" s="180">
        <v>1600</v>
      </c>
      <c r="E20" s="193">
        <f>D20*4.5/1000*1753718.9</f>
        <v>12626776.08</v>
      </c>
      <c r="F20" s="194"/>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row>
    <row r="21" spans="1:76" s="191" customFormat="1" ht="33" x14ac:dyDescent="0.25">
      <c r="A21" s="17"/>
      <c r="B21" s="192">
        <v>14</v>
      </c>
      <c r="C21" s="177" t="s">
        <v>578</v>
      </c>
      <c r="D21" s="180">
        <v>1200</v>
      </c>
      <c r="E21" s="193">
        <f t="shared" si="1"/>
        <v>9470082.0600000005</v>
      </c>
      <c r="F21" s="194"/>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row>
    <row r="22" spans="1:76" s="191" customFormat="1" ht="33" x14ac:dyDescent="0.25">
      <c r="A22" s="17"/>
      <c r="B22" s="192">
        <v>15</v>
      </c>
      <c r="C22" s="177" t="s">
        <v>584</v>
      </c>
      <c r="D22" s="180">
        <v>413</v>
      </c>
      <c r="E22" s="195">
        <f t="shared" si="1"/>
        <v>3259286.57565</v>
      </c>
      <c r="F22" s="194"/>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row>
    <row r="23" spans="1:76" s="191" customFormat="1" ht="33" x14ac:dyDescent="0.25">
      <c r="A23" s="17"/>
      <c r="B23" s="192">
        <v>16</v>
      </c>
      <c r="C23" s="177" t="s">
        <v>713</v>
      </c>
      <c r="D23" s="180">
        <v>491</v>
      </c>
      <c r="E23" s="195">
        <f>D23*4.5/1000*1753718.9</f>
        <v>3874841.9095499995</v>
      </c>
      <c r="F23" s="194"/>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row>
    <row r="24" spans="1:76" s="191" customFormat="1" ht="33" x14ac:dyDescent="0.25">
      <c r="A24" s="17"/>
      <c r="B24" s="192">
        <v>17</v>
      </c>
      <c r="C24" s="181" t="s">
        <v>655</v>
      </c>
      <c r="D24" s="180">
        <v>724</v>
      </c>
      <c r="E24" s="193">
        <f>D24*4.5/1000*1753718.9</f>
        <v>5713616.1761999996</v>
      </c>
      <c r="F24" s="194"/>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row>
    <row r="25" spans="1:76" s="191" customFormat="1" ht="33" x14ac:dyDescent="0.25">
      <c r="A25" s="17"/>
      <c r="B25" s="192">
        <v>18</v>
      </c>
      <c r="C25" s="177" t="s">
        <v>568</v>
      </c>
      <c r="D25" s="180">
        <v>351</v>
      </c>
      <c r="E25" s="193">
        <f>D25*4.5/1000*1753718.9</f>
        <v>2769999.0025499999</v>
      </c>
      <c r="F25" s="194"/>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row>
    <row r="26" spans="1:76" s="191" customFormat="1" ht="33" x14ac:dyDescent="0.25">
      <c r="A26" s="17"/>
      <c r="B26" s="192">
        <v>19</v>
      </c>
      <c r="C26" s="177" t="s">
        <v>569</v>
      </c>
      <c r="D26" s="180">
        <v>450</v>
      </c>
      <c r="E26" s="193">
        <f t="shared" ref="E26:E31" si="2">D26*4.5/1000*1753718.9</f>
        <v>3551280.7724999995</v>
      </c>
      <c r="F26" s="194"/>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row>
    <row r="27" spans="1:76" s="191" customFormat="1" ht="33" x14ac:dyDescent="0.25">
      <c r="A27" s="17"/>
      <c r="B27" s="192">
        <v>20</v>
      </c>
      <c r="C27" s="177" t="s">
        <v>572</v>
      </c>
      <c r="D27" s="180">
        <v>578</v>
      </c>
      <c r="E27" s="193">
        <f t="shared" si="2"/>
        <v>4561422.8588999994</v>
      </c>
      <c r="F27" s="194"/>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row>
    <row r="28" spans="1:76" s="191" customFormat="1" ht="33" x14ac:dyDescent="0.25">
      <c r="A28" s="17"/>
      <c r="B28" s="192">
        <v>21</v>
      </c>
      <c r="C28" s="177" t="s">
        <v>574</v>
      </c>
      <c r="D28" s="180">
        <v>908</v>
      </c>
      <c r="E28" s="193">
        <f t="shared" si="2"/>
        <v>7165695.4254000001</v>
      </c>
      <c r="F28" s="194"/>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row>
    <row r="29" spans="1:76" s="191" customFormat="1" ht="33" x14ac:dyDescent="0.25">
      <c r="A29" s="17"/>
      <c r="B29" s="192">
        <v>22</v>
      </c>
      <c r="C29" s="177" t="s">
        <v>576</v>
      </c>
      <c r="D29" s="180">
        <v>956</v>
      </c>
      <c r="E29" s="193">
        <f t="shared" si="2"/>
        <v>7544498.707799999</v>
      </c>
      <c r="F29" s="194"/>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row>
    <row r="30" spans="1:76" s="191" customFormat="1" ht="49.5" x14ac:dyDescent="0.25">
      <c r="A30" s="17"/>
      <c r="B30" s="504">
        <v>23</v>
      </c>
      <c r="C30" s="181" t="s">
        <v>872</v>
      </c>
      <c r="D30" s="505">
        <v>567</v>
      </c>
      <c r="E30" s="506">
        <f>D30*4.5/1000*1753718.9+0.03</f>
        <v>4474613.8033499997</v>
      </c>
      <c r="F30" s="50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row>
    <row r="31" spans="1:76" s="191" customFormat="1" ht="33" x14ac:dyDescent="0.25">
      <c r="A31" s="17"/>
      <c r="B31" s="192">
        <v>24</v>
      </c>
      <c r="C31" s="177" t="s">
        <v>873</v>
      </c>
      <c r="D31" s="180">
        <v>335</v>
      </c>
      <c r="E31" s="193">
        <f t="shared" si="2"/>
        <v>2643731.24175</v>
      </c>
      <c r="F31" s="194"/>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row>
    <row r="32" spans="1:76" s="191" customFormat="1" ht="33" x14ac:dyDescent="0.25">
      <c r="A32" s="17"/>
      <c r="B32" s="504">
        <v>25</v>
      </c>
      <c r="C32" s="181" t="s">
        <v>581</v>
      </c>
      <c r="D32" s="505">
        <v>1300</v>
      </c>
      <c r="E32" s="506">
        <f>D32*4.5/1000*1753718.9</f>
        <v>10259255.564999999</v>
      </c>
      <c r="F32" s="50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row>
    <row r="33" spans="1:76" s="191" customFormat="1" ht="33" x14ac:dyDescent="0.25">
      <c r="A33" s="17"/>
      <c r="B33" s="192">
        <v>26</v>
      </c>
      <c r="C33" s="177" t="s">
        <v>874</v>
      </c>
      <c r="D33" s="180">
        <v>643</v>
      </c>
      <c r="E33" s="195">
        <f>D33*4.5/1000*1753718.9</f>
        <v>5074385.6371499998</v>
      </c>
      <c r="F33" s="194"/>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row>
    <row r="34" spans="1:76" s="191" customFormat="1" ht="49.5" x14ac:dyDescent="0.25">
      <c r="A34" s="17"/>
      <c r="B34" s="192">
        <v>27</v>
      </c>
      <c r="C34" s="177" t="s">
        <v>583</v>
      </c>
      <c r="D34" s="180">
        <v>148</v>
      </c>
      <c r="E34" s="193">
        <f t="shared" ref="E34:E55" si="3">D34*4.5/1000*1753718.9</f>
        <v>1167976.7874</v>
      </c>
      <c r="F34" s="194"/>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row>
    <row r="35" spans="1:76" s="191" customFormat="1" ht="33" x14ac:dyDescent="0.25">
      <c r="A35" s="17"/>
      <c r="B35" s="192">
        <v>28</v>
      </c>
      <c r="C35" s="177" t="s">
        <v>585</v>
      </c>
      <c r="D35" s="180">
        <v>544</v>
      </c>
      <c r="E35" s="195">
        <f t="shared" si="3"/>
        <v>4293103.8671999993</v>
      </c>
      <c r="F35" s="194"/>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row>
    <row r="36" spans="1:76" s="191" customFormat="1" ht="33" x14ac:dyDescent="0.25">
      <c r="A36" s="17"/>
      <c r="B36" s="192">
        <v>29</v>
      </c>
      <c r="C36" s="177" t="s">
        <v>586</v>
      </c>
      <c r="D36" s="180">
        <v>443</v>
      </c>
      <c r="E36" s="195">
        <f t="shared" si="3"/>
        <v>3496038.6271500001</v>
      </c>
      <c r="F36" s="194"/>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row>
    <row r="37" spans="1:76" s="191" customFormat="1" ht="33" x14ac:dyDescent="0.25">
      <c r="A37" s="17"/>
      <c r="B37" s="192">
        <v>30</v>
      </c>
      <c r="C37" s="177" t="s">
        <v>587</v>
      </c>
      <c r="D37" s="180">
        <v>714</v>
      </c>
      <c r="E37" s="195">
        <f t="shared" si="3"/>
        <v>5634698.8256999999</v>
      </c>
      <c r="F37" s="194"/>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row>
    <row r="38" spans="1:76" s="191" customFormat="1" ht="33" x14ac:dyDescent="0.25">
      <c r="A38" s="17"/>
      <c r="B38" s="504">
        <v>31</v>
      </c>
      <c r="C38" s="181" t="s">
        <v>588</v>
      </c>
      <c r="D38" s="505">
        <v>142</v>
      </c>
      <c r="E38" s="508">
        <f>D38*4.5/1000*1753718.9-0.05</f>
        <v>1120626.3270999999</v>
      </c>
      <c r="F38" s="50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row>
    <row r="39" spans="1:76" s="191" customFormat="1" ht="33" x14ac:dyDescent="0.25">
      <c r="A39" s="17"/>
      <c r="B39" s="192">
        <v>32</v>
      </c>
      <c r="C39" s="177" t="s">
        <v>589</v>
      </c>
      <c r="D39" s="180">
        <v>160</v>
      </c>
      <c r="E39" s="195">
        <f t="shared" si="3"/>
        <v>1262677.6079999998</v>
      </c>
      <c r="F39" s="194"/>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row>
    <row r="40" spans="1:76" s="191" customFormat="1" ht="33" x14ac:dyDescent="0.25">
      <c r="A40" s="17"/>
      <c r="B40" s="192">
        <v>33</v>
      </c>
      <c r="C40" s="177" t="s">
        <v>590</v>
      </c>
      <c r="D40" s="180">
        <v>467</v>
      </c>
      <c r="E40" s="195">
        <f t="shared" si="3"/>
        <v>3685440.26835</v>
      </c>
      <c r="F40" s="194"/>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row>
    <row r="41" spans="1:76" s="191" customFormat="1" ht="33" x14ac:dyDescent="0.25">
      <c r="A41" s="17"/>
      <c r="B41" s="192">
        <v>34</v>
      </c>
      <c r="C41" s="177" t="s">
        <v>591</v>
      </c>
      <c r="D41" s="180">
        <v>186</v>
      </c>
      <c r="E41" s="195">
        <f t="shared" si="3"/>
        <v>1467862.7192999998</v>
      </c>
      <c r="F41" s="194"/>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row>
    <row r="42" spans="1:76" s="191" customFormat="1" ht="49.5" x14ac:dyDescent="0.25">
      <c r="A42" s="17"/>
      <c r="B42" s="192">
        <v>35</v>
      </c>
      <c r="C42" s="177" t="s">
        <v>700</v>
      </c>
      <c r="D42" s="180">
        <v>448</v>
      </c>
      <c r="E42" s="195">
        <f t="shared" si="3"/>
        <v>3535497.3023999999</v>
      </c>
      <c r="F42" s="194"/>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row>
    <row r="43" spans="1:76" s="191" customFormat="1" ht="33" x14ac:dyDescent="0.25">
      <c r="A43" s="17"/>
      <c r="B43" s="192">
        <v>36</v>
      </c>
      <c r="C43" s="177" t="s">
        <v>592</v>
      </c>
      <c r="D43" s="180">
        <v>911</v>
      </c>
      <c r="E43" s="195">
        <f t="shared" si="3"/>
        <v>7189370.6305499999</v>
      </c>
      <c r="F43" s="194"/>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row>
    <row r="44" spans="1:76" s="191" customFormat="1" ht="33" x14ac:dyDescent="0.25">
      <c r="A44" s="17"/>
      <c r="B44" s="504">
        <v>37</v>
      </c>
      <c r="C44" s="181" t="s">
        <v>701</v>
      </c>
      <c r="D44" s="505">
        <v>972</v>
      </c>
      <c r="E44" s="508">
        <f>D44*4.5/1000*1753718.9-0.02</f>
        <v>7670766.4485999998</v>
      </c>
      <c r="F44" s="50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row>
    <row r="45" spans="1:76" s="191" customFormat="1" ht="33" x14ac:dyDescent="0.25">
      <c r="A45" s="17"/>
      <c r="B45" s="192">
        <v>38</v>
      </c>
      <c r="C45" s="177" t="s">
        <v>593</v>
      </c>
      <c r="D45" s="180">
        <v>643</v>
      </c>
      <c r="E45" s="195">
        <f t="shared" si="3"/>
        <v>5074385.6371499998</v>
      </c>
      <c r="F45" s="194"/>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row>
    <row r="46" spans="1:76" s="191" customFormat="1" ht="33" x14ac:dyDescent="0.25">
      <c r="A46" s="17"/>
      <c r="B46" s="504">
        <v>39</v>
      </c>
      <c r="C46" s="181" t="s">
        <v>656</v>
      </c>
      <c r="D46" s="505">
        <v>349</v>
      </c>
      <c r="E46" s="508">
        <f>D46*4.5/1000*1753718.9+0.02</f>
        <v>2754215.5524499998</v>
      </c>
      <c r="F46" s="50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row>
    <row r="47" spans="1:76" s="191" customFormat="1" ht="33" x14ac:dyDescent="0.25">
      <c r="A47" s="17"/>
      <c r="B47" s="192">
        <v>40</v>
      </c>
      <c r="C47" s="177" t="s">
        <v>594</v>
      </c>
      <c r="D47" s="180">
        <v>151</v>
      </c>
      <c r="E47" s="195">
        <f t="shared" si="3"/>
        <v>1191651.9925499998</v>
      </c>
      <c r="F47" s="194"/>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row>
    <row r="48" spans="1:76" s="191" customFormat="1" ht="33" x14ac:dyDescent="0.25">
      <c r="A48" s="17"/>
      <c r="B48" s="192">
        <v>41</v>
      </c>
      <c r="C48" s="177" t="s">
        <v>595</v>
      </c>
      <c r="D48" s="180">
        <v>595</v>
      </c>
      <c r="E48" s="195">
        <f t="shared" si="3"/>
        <v>4695582.3547499999</v>
      </c>
      <c r="F48" s="194"/>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row>
    <row r="49" spans="1:76" s="191" customFormat="1" ht="33" x14ac:dyDescent="0.25">
      <c r="A49" s="17"/>
      <c r="B49" s="192">
        <v>42</v>
      </c>
      <c r="C49" s="177" t="s">
        <v>596</v>
      </c>
      <c r="D49" s="180">
        <v>331</v>
      </c>
      <c r="E49" s="195">
        <f t="shared" si="3"/>
        <v>2612164.30155</v>
      </c>
      <c r="F49" s="194"/>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row>
    <row r="50" spans="1:76" s="191" customFormat="1" ht="33" x14ac:dyDescent="0.25">
      <c r="A50" s="17"/>
      <c r="B50" s="192">
        <v>43</v>
      </c>
      <c r="C50" s="177" t="s">
        <v>597</v>
      </c>
      <c r="D50" s="180">
        <v>227</v>
      </c>
      <c r="E50" s="195">
        <f t="shared" si="3"/>
        <v>1791423.85635</v>
      </c>
      <c r="F50" s="194"/>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row>
    <row r="51" spans="1:76" s="191" customFormat="1" ht="33" x14ac:dyDescent="0.25">
      <c r="A51" s="17"/>
      <c r="B51" s="192">
        <v>44</v>
      </c>
      <c r="C51" s="177" t="s">
        <v>598</v>
      </c>
      <c r="D51" s="180">
        <v>578</v>
      </c>
      <c r="E51" s="195">
        <f t="shared" si="3"/>
        <v>4561422.8588999994</v>
      </c>
      <c r="F51" s="194"/>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row>
    <row r="52" spans="1:76" s="191" customFormat="1" ht="33" x14ac:dyDescent="0.25">
      <c r="A52" s="17"/>
      <c r="B52" s="192">
        <v>45</v>
      </c>
      <c r="C52" s="177" t="s">
        <v>657</v>
      </c>
      <c r="D52" s="180">
        <v>173</v>
      </c>
      <c r="E52" s="195">
        <f t="shared" si="3"/>
        <v>1365270.1636499998</v>
      </c>
      <c r="F52" s="194"/>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row>
    <row r="53" spans="1:76" s="191" customFormat="1" ht="33" x14ac:dyDescent="0.25">
      <c r="A53" s="17"/>
      <c r="B53" s="192">
        <v>46</v>
      </c>
      <c r="C53" s="177" t="s">
        <v>599</v>
      </c>
      <c r="D53" s="180">
        <v>133</v>
      </c>
      <c r="E53" s="195">
        <f t="shared" si="3"/>
        <v>1049600.76165</v>
      </c>
      <c r="F53" s="194"/>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row>
    <row r="54" spans="1:76" s="191" customFormat="1" ht="33" x14ac:dyDescent="0.25">
      <c r="A54" s="17"/>
      <c r="B54" s="192">
        <v>47</v>
      </c>
      <c r="C54" s="177" t="s">
        <v>601</v>
      </c>
      <c r="D54" s="180">
        <v>123</v>
      </c>
      <c r="E54" s="195">
        <f t="shared" si="3"/>
        <v>970683.41114999994</v>
      </c>
      <c r="F54" s="194"/>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row>
    <row r="55" spans="1:76" s="191" customFormat="1" ht="33" x14ac:dyDescent="0.25">
      <c r="A55" s="17"/>
      <c r="B55" s="192">
        <v>48</v>
      </c>
      <c r="C55" s="177" t="s">
        <v>602</v>
      </c>
      <c r="D55" s="180">
        <v>160</v>
      </c>
      <c r="E55" s="195">
        <f t="shared" si="3"/>
        <v>1262677.6079999998</v>
      </c>
      <c r="F55" s="194"/>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row>
    <row r="56" spans="1:76" s="191" customFormat="1" ht="33" x14ac:dyDescent="0.25">
      <c r="A56" s="17"/>
      <c r="B56" s="504">
        <v>49</v>
      </c>
      <c r="C56" s="181" t="s">
        <v>603</v>
      </c>
      <c r="D56" s="505">
        <v>979</v>
      </c>
      <c r="E56" s="508">
        <f>D56*4.5/1000*1753718.9+0.02</f>
        <v>7726008.6339499988</v>
      </c>
      <c r="F56" s="50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row>
    <row r="57" spans="1:76" s="191" customFormat="1" ht="33" x14ac:dyDescent="0.25">
      <c r="A57" s="17"/>
      <c r="B57" s="192">
        <v>50</v>
      </c>
      <c r="C57" s="177" t="s">
        <v>604</v>
      </c>
      <c r="D57" s="180">
        <v>638</v>
      </c>
      <c r="E57" s="195">
        <f>D57*4.5/1000*1753718.9</f>
        <v>5034926.9618999995</v>
      </c>
      <c r="F57" s="194"/>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row>
    <row r="58" spans="1:76" s="191" customFormat="1" ht="33" x14ac:dyDescent="0.25">
      <c r="A58" s="17"/>
      <c r="B58" s="192">
        <v>51</v>
      </c>
      <c r="C58" s="177" t="s">
        <v>605</v>
      </c>
      <c r="D58" s="180">
        <v>185</v>
      </c>
      <c r="E58" s="195">
        <f>D58*4.5/1000*1753718.9</f>
        <v>1459970.98425</v>
      </c>
      <c r="F58" s="194"/>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row>
    <row r="59" spans="1:76" s="191" customFormat="1" ht="33" x14ac:dyDescent="0.25">
      <c r="A59" s="17"/>
      <c r="B59" s="192">
        <v>52</v>
      </c>
      <c r="C59" s="177" t="s">
        <v>606</v>
      </c>
      <c r="D59" s="180">
        <v>105</v>
      </c>
      <c r="E59" s="195">
        <f>D59*4.5/1000*1753718.9</f>
        <v>828632.18024999986</v>
      </c>
      <c r="F59" s="194"/>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row>
    <row r="60" spans="1:76" s="191" customFormat="1" ht="33" x14ac:dyDescent="0.25">
      <c r="A60" s="17"/>
      <c r="B60" s="192">
        <v>53</v>
      </c>
      <c r="C60" s="177" t="s">
        <v>607</v>
      </c>
      <c r="D60" s="180">
        <v>323</v>
      </c>
      <c r="E60" s="195">
        <f>D60*4.5/1000*1753718.9</f>
        <v>2549030.4211499998</v>
      </c>
      <c r="F60" s="194"/>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row>
    <row r="61" spans="1:76" s="191" customFormat="1" ht="33" x14ac:dyDescent="0.25">
      <c r="A61" s="17"/>
      <c r="B61" s="192">
        <v>54</v>
      </c>
      <c r="C61" s="177" t="s">
        <v>608</v>
      </c>
      <c r="D61" s="180">
        <v>303</v>
      </c>
      <c r="E61" s="195">
        <f>D61*4.5/1000*1753718.9</f>
        <v>2391195.72015</v>
      </c>
      <c r="F61" s="194"/>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row>
    <row r="62" spans="1:76" s="191" customFormat="1" ht="33" x14ac:dyDescent="0.25">
      <c r="A62" s="17"/>
      <c r="B62" s="192">
        <v>55</v>
      </c>
      <c r="C62" s="177" t="s">
        <v>609</v>
      </c>
      <c r="D62" s="180">
        <v>1500</v>
      </c>
      <c r="E62" s="195">
        <f t="shared" ref="E62:E71" si="4">D62*4.5/1000*1753718.9</f>
        <v>11837602.574999999</v>
      </c>
      <c r="F62" s="194"/>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row>
    <row r="63" spans="1:76" s="191" customFormat="1" ht="33" x14ac:dyDescent="0.25">
      <c r="A63" s="17"/>
      <c r="B63" s="192">
        <v>56</v>
      </c>
      <c r="C63" s="177" t="s">
        <v>779</v>
      </c>
      <c r="D63" s="180">
        <v>877</v>
      </c>
      <c r="E63" s="195">
        <f t="shared" si="4"/>
        <v>6921051.6388499998</v>
      </c>
      <c r="F63" s="194"/>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row>
    <row r="64" spans="1:76" s="191" customFormat="1" ht="33" x14ac:dyDescent="0.25">
      <c r="A64" s="17"/>
      <c r="B64" s="192">
        <v>57</v>
      </c>
      <c r="C64" s="177" t="s">
        <v>610</v>
      </c>
      <c r="D64" s="180">
        <v>1000</v>
      </c>
      <c r="E64" s="195">
        <f t="shared" si="4"/>
        <v>7891735.0499999998</v>
      </c>
      <c r="F64" s="194"/>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row>
    <row r="65" spans="1:76" s="191" customFormat="1" ht="33" x14ac:dyDescent="0.25">
      <c r="A65" s="17"/>
      <c r="B65" s="192">
        <v>58</v>
      </c>
      <c r="C65" s="177" t="s">
        <v>611</v>
      </c>
      <c r="D65" s="180">
        <v>1000</v>
      </c>
      <c r="E65" s="195">
        <f t="shared" si="4"/>
        <v>7891735.0499999998</v>
      </c>
      <c r="F65" s="194"/>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row>
    <row r="66" spans="1:76" s="191" customFormat="1" ht="33" x14ac:dyDescent="0.25">
      <c r="A66" s="17"/>
      <c r="B66" s="192">
        <v>59</v>
      </c>
      <c r="C66" s="177" t="s">
        <v>614</v>
      </c>
      <c r="D66" s="180">
        <v>295</v>
      </c>
      <c r="E66" s="195">
        <f t="shared" si="4"/>
        <v>2328061.8397499998</v>
      </c>
      <c r="F66" s="194"/>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row>
    <row r="67" spans="1:76" s="191" customFormat="1" ht="33" x14ac:dyDescent="0.25">
      <c r="A67" s="17"/>
      <c r="B67" s="192">
        <v>60</v>
      </c>
      <c r="C67" s="177" t="s">
        <v>557</v>
      </c>
      <c r="D67" s="180">
        <v>1300</v>
      </c>
      <c r="E67" s="195">
        <f t="shared" si="4"/>
        <v>10259255.564999999</v>
      </c>
      <c r="F67" s="194"/>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row>
    <row r="68" spans="1:76" s="191" customFormat="1" ht="33" x14ac:dyDescent="0.25">
      <c r="A68" s="17"/>
      <c r="B68" s="192">
        <v>61</v>
      </c>
      <c r="C68" s="177" t="s">
        <v>519</v>
      </c>
      <c r="D68" s="180">
        <v>472</v>
      </c>
      <c r="E68" s="195">
        <f t="shared" si="4"/>
        <v>3724898.9435999999</v>
      </c>
      <c r="F68" s="194"/>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row>
    <row r="69" spans="1:76" s="191" customFormat="1" ht="33" x14ac:dyDescent="0.25">
      <c r="A69" s="17"/>
      <c r="B69" s="192">
        <v>62</v>
      </c>
      <c r="C69" s="177" t="s">
        <v>616</v>
      </c>
      <c r="D69" s="180">
        <v>343</v>
      </c>
      <c r="E69" s="195">
        <f t="shared" si="4"/>
        <v>2706865.1221500002</v>
      </c>
      <c r="F69" s="194"/>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row>
    <row r="70" spans="1:76" s="191" customFormat="1" ht="33" x14ac:dyDescent="0.25">
      <c r="A70" s="17"/>
      <c r="B70" s="504">
        <v>63</v>
      </c>
      <c r="C70" s="181" t="s">
        <v>617</v>
      </c>
      <c r="D70" s="505">
        <v>454</v>
      </c>
      <c r="E70" s="508">
        <f>D70*4.5/1000*1753718.9+0.02</f>
        <v>3582847.7327000001</v>
      </c>
      <c r="F70" s="50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row>
    <row r="71" spans="1:76" s="191" customFormat="1" ht="33" x14ac:dyDescent="0.25">
      <c r="A71" s="17"/>
      <c r="B71" s="192">
        <v>64</v>
      </c>
      <c r="C71" s="177" t="s">
        <v>618</v>
      </c>
      <c r="D71" s="180">
        <v>328</v>
      </c>
      <c r="E71" s="195">
        <f t="shared" si="4"/>
        <v>2588489.0963999997</v>
      </c>
      <c r="F71" s="194"/>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row>
    <row r="72" spans="1:76" s="211" customFormat="1" ht="16.5" x14ac:dyDescent="0.25">
      <c r="A72" s="87"/>
      <c r="B72" s="201"/>
      <c r="C72" s="208" t="s">
        <v>481</v>
      </c>
      <c r="D72" s="209">
        <f>SUM(D14:D71)</f>
        <v>36083</v>
      </c>
      <c r="E72" s="210">
        <f>SUM(E14:E71)</f>
        <v>284757475.82915008</v>
      </c>
      <c r="F72" s="201"/>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7"/>
      <c r="BR72" s="87"/>
      <c r="BS72" s="87"/>
      <c r="BT72" s="87"/>
      <c r="BU72" s="87"/>
      <c r="BV72" s="87"/>
      <c r="BW72" s="87"/>
      <c r="BX72" s="87"/>
    </row>
    <row r="73" spans="1:76" s="196" customFormat="1" ht="16.5" x14ac:dyDescent="0.25">
      <c r="A73" s="17"/>
      <c r="B73" s="785">
        <v>2025</v>
      </c>
      <c r="C73" s="786"/>
      <c r="D73" s="786"/>
      <c r="E73" s="786"/>
      <c r="F73" s="78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row>
    <row r="74" spans="1:76" s="196" customFormat="1" ht="33" x14ac:dyDescent="0.25">
      <c r="A74" s="17"/>
      <c r="B74" s="197">
        <v>65</v>
      </c>
      <c r="C74" s="178" t="s">
        <v>615</v>
      </c>
      <c r="D74" s="213">
        <v>314</v>
      </c>
      <c r="E74" s="198">
        <v>2545461.08</v>
      </c>
      <c r="F74" s="199"/>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row>
    <row r="75" spans="1:76" s="196" customFormat="1" ht="33" x14ac:dyDescent="0.25">
      <c r="A75" s="17"/>
      <c r="B75" s="514">
        <v>66</v>
      </c>
      <c r="C75" s="515" t="s">
        <v>514</v>
      </c>
      <c r="D75" s="516">
        <v>538</v>
      </c>
      <c r="E75" s="518">
        <v>4245753.46</v>
      </c>
      <c r="F75" s="5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row>
    <row r="76" spans="1:76" s="196" customFormat="1" ht="33" x14ac:dyDescent="0.25">
      <c r="A76" s="17"/>
      <c r="B76" s="197">
        <v>67</v>
      </c>
      <c r="C76" s="178" t="s">
        <v>515</v>
      </c>
      <c r="D76" s="213">
        <v>206</v>
      </c>
      <c r="E76" s="195">
        <f t="shared" ref="E76:E103" si="5">D76*4.5/1000*1753718.9</f>
        <v>1625697.4202999999</v>
      </c>
      <c r="F76" s="199"/>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row>
    <row r="77" spans="1:76" s="196" customFormat="1" ht="33" x14ac:dyDescent="0.25">
      <c r="A77" s="17"/>
      <c r="B77" s="197">
        <v>68</v>
      </c>
      <c r="C77" s="178" t="s">
        <v>516</v>
      </c>
      <c r="D77" s="213">
        <v>192</v>
      </c>
      <c r="E77" s="195">
        <f t="shared" si="5"/>
        <v>1515213.1295999999</v>
      </c>
      <c r="F77" s="199"/>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row>
    <row r="78" spans="1:76" s="196" customFormat="1" ht="33" x14ac:dyDescent="0.25">
      <c r="A78" s="17"/>
      <c r="B78" s="197">
        <v>69</v>
      </c>
      <c r="C78" s="178" t="s">
        <v>517</v>
      </c>
      <c r="D78" s="213">
        <v>1700</v>
      </c>
      <c r="E78" s="198">
        <f t="shared" si="5"/>
        <v>13415949.584999999</v>
      </c>
      <c r="F78" s="199"/>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row>
    <row r="79" spans="1:76" s="196" customFormat="1" ht="33" x14ac:dyDescent="0.25">
      <c r="A79" s="17"/>
      <c r="B79" s="197">
        <v>70</v>
      </c>
      <c r="C79" s="178" t="s">
        <v>518</v>
      </c>
      <c r="D79" s="213">
        <v>184</v>
      </c>
      <c r="E79" s="198">
        <f t="shared" si="5"/>
        <v>1452079.2492</v>
      </c>
      <c r="F79" s="199"/>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row>
    <row r="80" spans="1:76" s="196" customFormat="1" ht="33" x14ac:dyDescent="0.25">
      <c r="A80" s="17"/>
      <c r="B80" s="197">
        <v>71</v>
      </c>
      <c r="C80" s="178" t="s">
        <v>520</v>
      </c>
      <c r="D80" s="213">
        <v>357</v>
      </c>
      <c r="E80" s="198">
        <f t="shared" si="5"/>
        <v>2817349.41285</v>
      </c>
      <c r="F80" s="199"/>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row>
    <row r="81" spans="1:76" s="196" customFormat="1" ht="33" x14ac:dyDescent="0.25">
      <c r="A81" s="17"/>
      <c r="B81" s="197">
        <v>72</v>
      </c>
      <c r="C81" s="178" t="s">
        <v>521</v>
      </c>
      <c r="D81" s="213">
        <v>852</v>
      </c>
      <c r="E81" s="198">
        <f t="shared" si="5"/>
        <v>6723758.2626</v>
      </c>
      <c r="F81" s="199"/>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row>
    <row r="82" spans="1:76" s="196" customFormat="1" ht="33" x14ac:dyDescent="0.25">
      <c r="A82" s="17"/>
      <c r="B82" s="509">
        <v>73</v>
      </c>
      <c r="C82" s="510" t="s">
        <v>522</v>
      </c>
      <c r="D82" s="511">
        <v>221</v>
      </c>
      <c r="E82" s="512">
        <f>D82*4.5/1000*1753718.9-0.01</f>
        <v>1744073.4360499999</v>
      </c>
      <c r="F82" s="513"/>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row>
    <row r="83" spans="1:76" s="196" customFormat="1" ht="33" x14ac:dyDescent="0.25">
      <c r="A83" s="17"/>
      <c r="B83" s="197">
        <v>74</v>
      </c>
      <c r="C83" s="178" t="s">
        <v>523</v>
      </c>
      <c r="D83" s="213">
        <v>295</v>
      </c>
      <c r="E83" s="198">
        <f t="shared" si="5"/>
        <v>2328061.8397499998</v>
      </c>
      <c r="F83" s="199"/>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row>
    <row r="84" spans="1:76" s="196" customFormat="1" ht="33" x14ac:dyDescent="0.25">
      <c r="A84" s="17"/>
      <c r="B84" s="197">
        <v>75</v>
      </c>
      <c r="C84" s="178" t="s">
        <v>524</v>
      </c>
      <c r="D84" s="213">
        <v>230</v>
      </c>
      <c r="E84" s="198">
        <f t="shared" si="5"/>
        <v>1815099.0614999998</v>
      </c>
      <c r="F84" s="199"/>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row>
    <row r="85" spans="1:76" s="196" customFormat="1" ht="33" x14ac:dyDescent="0.25">
      <c r="A85" s="17"/>
      <c r="B85" s="197">
        <v>76</v>
      </c>
      <c r="C85" s="178" t="s">
        <v>658</v>
      </c>
      <c r="D85" s="213">
        <v>250</v>
      </c>
      <c r="E85" s="198">
        <f t="shared" si="5"/>
        <v>1972933.7625</v>
      </c>
      <c r="F85" s="199"/>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row>
    <row r="86" spans="1:76" s="196" customFormat="1" ht="33" x14ac:dyDescent="0.25">
      <c r="A86" s="17"/>
      <c r="B86" s="197">
        <v>77</v>
      </c>
      <c r="C86" s="178" t="s">
        <v>525</v>
      </c>
      <c r="D86" s="213">
        <v>194</v>
      </c>
      <c r="E86" s="198">
        <f t="shared" si="5"/>
        <v>1530996.5996999999</v>
      </c>
      <c r="F86" s="199"/>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row>
    <row r="87" spans="1:76" s="196" customFormat="1" ht="33" x14ac:dyDescent="0.25">
      <c r="A87" s="17"/>
      <c r="B87" s="197">
        <v>78</v>
      </c>
      <c r="C87" s="178" t="s">
        <v>526</v>
      </c>
      <c r="D87" s="213">
        <v>303</v>
      </c>
      <c r="E87" s="198">
        <f t="shared" si="5"/>
        <v>2391195.72015</v>
      </c>
      <c r="F87" s="199"/>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row>
    <row r="88" spans="1:76" s="196" customFormat="1" ht="33" x14ac:dyDescent="0.25">
      <c r="A88" s="17"/>
      <c r="B88" s="509">
        <v>79</v>
      </c>
      <c r="C88" s="510" t="s">
        <v>527</v>
      </c>
      <c r="D88" s="511">
        <v>179</v>
      </c>
      <c r="E88" s="512">
        <f>D88*4.5/1000*1753718.9+0.02</f>
        <v>1412620.5939499999</v>
      </c>
      <c r="F88" s="513"/>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row>
    <row r="89" spans="1:76" s="196" customFormat="1" ht="33" x14ac:dyDescent="0.25">
      <c r="A89" s="17"/>
      <c r="B89" s="197">
        <v>80</v>
      </c>
      <c r="C89" s="178" t="s">
        <v>528</v>
      </c>
      <c r="D89" s="213">
        <v>213</v>
      </c>
      <c r="E89" s="198">
        <f t="shared" si="5"/>
        <v>1680939.56565</v>
      </c>
      <c r="F89" s="199"/>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row>
    <row r="90" spans="1:76" s="196" customFormat="1" ht="33" x14ac:dyDescent="0.25">
      <c r="A90" s="17"/>
      <c r="B90" s="197">
        <v>81</v>
      </c>
      <c r="C90" s="178" t="s">
        <v>529</v>
      </c>
      <c r="D90" s="213">
        <v>502</v>
      </c>
      <c r="E90" s="198">
        <f t="shared" si="5"/>
        <v>3961650.9950999995</v>
      </c>
      <c r="F90" s="199"/>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row>
    <row r="91" spans="1:76" s="196" customFormat="1" ht="33" x14ac:dyDescent="0.25">
      <c r="A91" s="17"/>
      <c r="B91" s="197">
        <v>82</v>
      </c>
      <c r="C91" s="178" t="s">
        <v>530</v>
      </c>
      <c r="D91" s="213">
        <v>176</v>
      </c>
      <c r="E91" s="198">
        <f t="shared" si="5"/>
        <v>1388945.3688000001</v>
      </c>
      <c r="F91" s="199"/>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row>
    <row r="92" spans="1:76" s="196" customFormat="1" ht="33" customHeight="1" x14ac:dyDescent="0.25">
      <c r="A92" s="17"/>
      <c r="B92" s="794">
        <v>83</v>
      </c>
      <c r="C92" s="792" t="s">
        <v>702</v>
      </c>
      <c r="D92" s="792">
        <v>1103</v>
      </c>
      <c r="E92" s="796">
        <f t="shared" si="5"/>
        <v>8704583.7601499986</v>
      </c>
      <c r="F92" s="794"/>
      <c r="G92" s="86"/>
      <c r="H92" s="17">
        <v>8704583.7601500005</v>
      </c>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row>
    <row r="93" spans="1:76" s="196" customFormat="1" ht="33" customHeight="1" x14ac:dyDescent="0.25">
      <c r="A93" s="17"/>
      <c r="B93" s="795"/>
      <c r="C93" s="793"/>
      <c r="D93" s="793"/>
      <c r="E93" s="797"/>
      <c r="F93" s="795"/>
      <c r="G93" s="17"/>
      <c r="H93" s="17">
        <v>1103</v>
      </c>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row>
    <row r="94" spans="1:76" s="196" customFormat="1" ht="33" x14ac:dyDescent="0.25">
      <c r="A94" s="17"/>
      <c r="B94" s="197">
        <v>85</v>
      </c>
      <c r="C94" s="178" t="s">
        <v>531</v>
      </c>
      <c r="D94" s="213">
        <v>474</v>
      </c>
      <c r="E94" s="198">
        <f t="shared" si="5"/>
        <v>3740682.4136999999</v>
      </c>
      <c r="F94" s="199"/>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row>
    <row r="95" spans="1:76" s="196" customFormat="1" ht="33" x14ac:dyDescent="0.25">
      <c r="A95" s="17"/>
      <c r="B95" s="197">
        <v>86</v>
      </c>
      <c r="C95" s="178" t="s">
        <v>532</v>
      </c>
      <c r="D95" s="213">
        <v>218</v>
      </c>
      <c r="E95" s="198">
        <f t="shared" si="5"/>
        <v>1720398.2408999999</v>
      </c>
      <c r="F95" s="199"/>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row>
    <row r="96" spans="1:76" s="196" customFormat="1" ht="33" x14ac:dyDescent="0.25">
      <c r="A96" s="17"/>
      <c r="B96" s="509">
        <v>87</v>
      </c>
      <c r="C96" s="510" t="s">
        <v>533</v>
      </c>
      <c r="D96" s="511">
        <v>696</v>
      </c>
      <c r="E96" s="512">
        <f>D96*4.5/1000*1753718.9+0.02</f>
        <v>5492647.6147999996</v>
      </c>
      <c r="F96" s="513"/>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row>
    <row r="97" spans="1:76" s="196" customFormat="1" ht="33" x14ac:dyDescent="0.25">
      <c r="A97" s="17"/>
      <c r="B97" s="197">
        <v>88</v>
      </c>
      <c r="C97" s="178" t="s">
        <v>534</v>
      </c>
      <c r="D97" s="213">
        <v>731</v>
      </c>
      <c r="E97" s="198">
        <f t="shared" si="5"/>
        <v>5768858.3215499995</v>
      </c>
      <c r="F97" s="199"/>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row>
    <row r="98" spans="1:76" s="196" customFormat="1" ht="33" x14ac:dyDescent="0.25">
      <c r="A98" s="17"/>
      <c r="B98" s="197">
        <v>89</v>
      </c>
      <c r="C98" s="178" t="s">
        <v>535</v>
      </c>
      <c r="D98" s="213">
        <v>759</v>
      </c>
      <c r="E98" s="200">
        <f t="shared" si="5"/>
        <v>5989826.90295</v>
      </c>
      <c r="F98" s="199"/>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row>
    <row r="99" spans="1:76" s="196" customFormat="1" ht="33" x14ac:dyDescent="0.25">
      <c r="A99" s="17"/>
      <c r="B99" s="197">
        <v>90</v>
      </c>
      <c r="C99" s="178" t="s">
        <v>536</v>
      </c>
      <c r="D99" s="213">
        <v>1500</v>
      </c>
      <c r="E99" s="200">
        <f t="shared" si="5"/>
        <v>11837602.574999999</v>
      </c>
      <c r="F99" s="199"/>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row>
    <row r="100" spans="1:76" s="196" customFormat="1" ht="33" x14ac:dyDescent="0.25">
      <c r="A100" s="17"/>
      <c r="B100" s="197">
        <v>91</v>
      </c>
      <c r="C100" s="178" t="s">
        <v>537</v>
      </c>
      <c r="D100" s="213">
        <v>1200</v>
      </c>
      <c r="E100" s="200">
        <f t="shared" si="5"/>
        <v>9470082.0600000005</v>
      </c>
      <c r="F100" s="199"/>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row>
    <row r="101" spans="1:76" s="196" customFormat="1" ht="33" x14ac:dyDescent="0.25">
      <c r="A101" s="17"/>
      <c r="B101" s="197">
        <v>92</v>
      </c>
      <c r="C101" s="178" t="s">
        <v>538</v>
      </c>
      <c r="D101" s="213">
        <v>1400</v>
      </c>
      <c r="E101" s="200">
        <f t="shared" si="5"/>
        <v>11048429.069999998</v>
      </c>
      <c r="F101" s="199"/>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row>
    <row r="102" spans="1:76" s="196" customFormat="1" ht="33" x14ac:dyDescent="0.25">
      <c r="A102" s="17"/>
      <c r="B102" s="509">
        <v>93</v>
      </c>
      <c r="C102" s="510" t="s">
        <v>539</v>
      </c>
      <c r="D102" s="511">
        <v>811</v>
      </c>
      <c r="E102" s="248">
        <f>D102*4.5/1000*1753718.9-0.02</f>
        <v>6400197.1055500004</v>
      </c>
      <c r="F102" s="199"/>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row>
    <row r="103" spans="1:76" s="196" customFormat="1" ht="33" x14ac:dyDescent="0.25">
      <c r="A103" s="17"/>
      <c r="B103" s="197">
        <v>94</v>
      </c>
      <c r="C103" s="178" t="s">
        <v>540</v>
      </c>
      <c r="D103" s="213">
        <v>1100</v>
      </c>
      <c r="E103" s="200">
        <f t="shared" si="5"/>
        <v>8680908.5549999997</v>
      </c>
      <c r="F103" s="199"/>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row>
    <row r="104" spans="1:76" s="196" customFormat="1" ht="33" x14ac:dyDescent="0.25">
      <c r="A104" s="17"/>
      <c r="B104" s="197">
        <v>95</v>
      </c>
      <c r="C104" s="178" t="s">
        <v>659</v>
      </c>
      <c r="D104" s="213">
        <v>1500</v>
      </c>
      <c r="E104" s="200">
        <f>D104*4.5/1000*1753718.9*1.5</f>
        <v>17756403.862499997</v>
      </c>
      <c r="F104" s="199"/>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row>
    <row r="105" spans="1:76" s="196" customFormat="1" ht="33" x14ac:dyDescent="0.25">
      <c r="A105" s="17"/>
      <c r="B105" s="197">
        <v>96</v>
      </c>
      <c r="C105" s="178" t="s">
        <v>541</v>
      </c>
      <c r="D105" s="213">
        <v>1400</v>
      </c>
      <c r="E105" s="200">
        <f>D105*4.5/1000*1753718.9*1.5</f>
        <v>16572643.604999997</v>
      </c>
      <c r="F105" s="199"/>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row>
    <row r="106" spans="1:76" s="196" customFormat="1" ht="33" x14ac:dyDescent="0.25">
      <c r="A106" s="17"/>
      <c r="B106" s="197">
        <v>97</v>
      </c>
      <c r="C106" s="178" t="s">
        <v>542</v>
      </c>
      <c r="D106" s="213">
        <v>1500</v>
      </c>
      <c r="E106" s="200">
        <f>D106*4.5/1000*1753718.9*1</f>
        <v>11837602.574999999</v>
      </c>
      <c r="F106" s="199"/>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row>
    <row r="107" spans="1:76" s="196" customFormat="1" ht="33" x14ac:dyDescent="0.25">
      <c r="A107" s="17"/>
      <c r="B107" s="197">
        <v>98</v>
      </c>
      <c r="C107" s="178" t="s">
        <v>543</v>
      </c>
      <c r="D107" s="213">
        <v>1100</v>
      </c>
      <c r="E107" s="200">
        <f>D107*4.5/1000*1753718.9*1</f>
        <v>8680908.5549999997</v>
      </c>
      <c r="F107" s="199"/>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row>
    <row r="108" spans="1:76" s="196" customFormat="1" ht="33" x14ac:dyDescent="0.25">
      <c r="A108" s="17"/>
      <c r="B108" s="197">
        <v>99</v>
      </c>
      <c r="C108" s="178" t="s">
        <v>544</v>
      </c>
      <c r="D108" s="213">
        <v>531</v>
      </c>
      <c r="E108" s="200">
        <f>D108*4.5/1000*1753718.9*1.5</f>
        <v>6285766.9673250001</v>
      </c>
      <c r="F108" s="199"/>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row>
    <row r="109" spans="1:76" s="196" customFormat="1" ht="33" x14ac:dyDescent="0.25">
      <c r="A109" s="17"/>
      <c r="B109" s="197">
        <v>100</v>
      </c>
      <c r="C109" s="178" t="s">
        <v>545</v>
      </c>
      <c r="D109" s="213">
        <v>1400</v>
      </c>
      <c r="E109" s="200">
        <f>D109*4.5/1000*1753718.9*1.5</f>
        <v>16572643.604999997</v>
      </c>
      <c r="F109" s="199"/>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row>
    <row r="110" spans="1:76" s="196" customFormat="1" ht="33" x14ac:dyDescent="0.25">
      <c r="A110" s="17"/>
      <c r="B110" s="197">
        <v>101</v>
      </c>
      <c r="C110" s="178" t="s">
        <v>546</v>
      </c>
      <c r="D110" s="213">
        <v>358</v>
      </c>
      <c r="E110" s="200">
        <f t="shared" ref="E110:E116" si="6">D110*4.5/1000*1753718.9*1</f>
        <v>2825241.1478999997</v>
      </c>
      <c r="F110" s="199"/>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row>
    <row r="111" spans="1:76" s="196" customFormat="1" ht="33" x14ac:dyDescent="0.25">
      <c r="A111" s="17"/>
      <c r="B111" s="197">
        <v>102</v>
      </c>
      <c r="C111" s="178" t="s">
        <v>547</v>
      </c>
      <c r="D111" s="213">
        <v>366</v>
      </c>
      <c r="E111" s="200">
        <f t="shared" si="6"/>
        <v>2888375.0282999999</v>
      </c>
      <c r="F111" s="199"/>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row>
    <row r="112" spans="1:76" s="196" customFormat="1" ht="33" x14ac:dyDescent="0.25">
      <c r="A112" s="17"/>
      <c r="B112" s="197">
        <v>103</v>
      </c>
      <c r="C112" s="178" t="s">
        <v>548</v>
      </c>
      <c r="D112" s="213">
        <v>370</v>
      </c>
      <c r="E112" s="200">
        <f t="shared" si="6"/>
        <v>2919941.9685</v>
      </c>
      <c r="F112" s="199"/>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row>
    <row r="113" spans="1:76" s="196" customFormat="1" ht="33" x14ac:dyDescent="0.25">
      <c r="A113" s="17"/>
      <c r="B113" s="197">
        <v>104</v>
      </c>
      <c r="C113" s="178" t="s">
        <v>549</v>
      </c>
      <c r="D113" s="213">
        <v>461</v>
      </c>
      <c r="E113" s="200">
        <f t="shared" si="6"/>
        <v>3638089.8580499999</v>
      </c>
      <c r="F113" s="199"/>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row>
    <row r="114" spans="1:76" s="196" customFormat="1" ht="33" x14ac:dyDescent="0.25">
      <c r="A114" s="17"/>
      <c r="B114" s="509">
        <v>105</v>
      </c>
      <c r="C114" s="510" t="s">
        <v>550</v>
      </c>
      <c r="D114" s="511">
        <v>288</v>
      </c>
      <c r="E114" s="248">
        <f>D114*4.5/1000*1753718.9*1+0.02</f>
        <v>2272819.7143999999</v>
      </c>
      <c r="F114" s="513"/>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row>
    <row r="115" spans="1:76" s="196" customFormat="1" ht="33" x14ac:dyDescent="0.25">
      <c r="A115" s="17"/>
      <c r="B115" s="197">
        <v>106</v>
      </c>
      <c r="C115" s="178" t="s">
        <v>551</v>
      </c>
      <c r="D115" s="213">
        <v>343</v>
      </c>
      <c r="E115" s="200">
        <f t="shared" si="6"/>
        <v>2706865.1221500002</v>
      </c>
      <c r="F115" s="199"/>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row>
    <row r="116" spans="1:76" s="196" customFormat="1" ht="33" x14ac:dyDescent="0.25">
      <c r="A116" s="17"/>
      <c r="B116" s="197">
        <v>107</v>
      </c>
      <c r="C116" s="178" t="s">
        <v>552</v>
      </c>
      <c r="D116" s="213">
        <v>830</v>
      </c>
      <c r="E116" s="200">
        <f t="shared" si="6"/>
        <v>6550140.0914999992</v>
      </c>
      <c r="F116" s="199"/>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row>
    <row r="117" spans="1:76" s="196" customFormat="1" ht="33" x14ac:dyDescent="0.25">
      <c r="A117" s="17"/>
      <c r="B117" s="509">
        <v>108</v>
      </c>
      <c r="C117" s="510" t="s">
        <v>553</v>
      </c>
      <c r="D117" s="511">
        <v>828</v>
      </c>
      <c r="E117" s="248">
        <f>D117*4.5/1000*1753718.9+0.02</f>
        <v>6534356.6413999991</v>
      </c>
      <c r="F117" s="513"/>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row>
    <row r="118" spans="1:76" s="196" customFormat="1" ht="33" x14ac:dyDescent="0.25">
      <c r="A118" s="17"/>
      <c r="B118" s="197">
        <v>109</v>
      </c>
      <c r="C118" s="178" t="s">
        <v>554</v>
      </c>
      <c r="D118" s="213">
        <v>1100</v>
      </c>
      <c r="E118" s="200">
        <f t="shared" ref="E118:E125" si="7">D118*4.5/1000*1753718.9</f>
        <v>8680908.5549999997</v>
      </c>
      <c r="F118" s="199"/>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row>
    <row r="119" spans="1:76" s="196" customFormat="1" ht="33" x14ac:dyDescent="0.25">
      <c r="A119" s="17"/>
      <c r="B119" s="197">
        <v>110</v>
      </c>
      <c r="C119" s="178" t="s">
        <v>555</v>
      </c>
      <c r="D119" s="213">
        <v>826</v>
      </c>
      <c r="E119" s="200">
        <f t="shared" si="7"/>
        <v>6518573.1513</v>
      </c>
      <c r="F119" s="199"/>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row>
    <row r="120" spans="1:76" s="196" customFormat="1" ht="33" x14ac:dyDescent="0.25">
      <c r="A120" s="17"/>
      <c r="B120" s="509">
        <v>111</v>
      </c>
      <c r="C120" s="510" t="s">
        <v>556</v>
      </c>
      <c r="D120" s="511">
        <v>655</v>
      </c>
      <c r="E120" s="248">
        <f>D120*4.5/1000*1753718.9-0.02</f>
        <v>5169086.4377499996</v>
      </c>
      <c r="F120" s="513"/>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row>
    <row r="121" spans="1:76" s="196" customFormat="1" ht="33" x14ac:dyDescent="0.25">
      <c r="A121" s="17"/>
      <c r="B121" s="197">
        <v>112</v>
      </c>
      <c r="C121" s="220" t="s">
        <v>667</v>
      </c>
      <c r="D121" s="221">
        <v>853</v>
      </c>
      <c r="E121" s="222">
        <f t="shared" si="7"/>
        <v>6731649.9976499993</v>
      </c>
      <c r="F121" s="199"/>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row>
    <row r="122" spans="1:76" s="196" customFormat="1" ht="33" x14ac:dyDescent="0.25">
      <c r="A122" s="17"/>
      <c r="B122" s="197">
        <v>113</v>
      </c>
      <c r="C122" s="178" t="s">
        <v>558</v>
      </c>
      <c r="D122" s="213">
        <v>325</v>
      </c>
      <c r="E122" s="200">
        <f t="shared" si="7"/>
        <v>2564813.8912499999</v>
      </c>
      <c r="F122" s="199"/>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row>
    <row r="123" spans="1:76" s="196" customFormat="1" ht="33" x14ac:dyDescent="0.25">
      <c r="A123" s="17"/>
      <c r="B123" s="197">
        <v>114</v>
      </c>
      <c r="C123" s="178" t="s">
        <v>600</v>
      </c>
      <c r="D123" s="213">
        <v>107</v>
      </c>
      <c r="E123" s="198">
        <f t="shared" si="7"/>
        <v>844415.65034999989</v>
      </c>
      <c r="F123" s="199"/>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row>
    <row r="124" spans="1:76" s="196" customFormat="1" ht="33" x14ac:dyDescent="0.25">
      <c r="A124" s="17"/>
      <c r="B124" s="509">
        <v>115</v>
      </c>
      <c r="C124" s="510" t="s">
        <v>559</v>
      </c>
      <c r="D124" s="511">
        <v>221</v>
      </c>
      <c r="E124" s="248">
        <f>D124*4.5/1000*1753718.9</f>
        <v>1744073.4460499999</v>
      </c>
      <c r="F124" s="513"/>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row>
    <row r="125" spans="1:76" s="196" customFormat="1" ht="33" x14ac:dyDescent="0.25">
      <c r="A125" s="17"/>
      <c r="B125" s="197">
        <v>116</v>
      </c>
      <c r="C125" s="220" t="s">
        <v>560</v>
      </c>
      <c r="D125" s="221">
        <v>220</v>
      </c>
      <c r="E125" s="200">
        <f t="shared" si="7"/>
        <v>1736181.7109999999</v>
      </c>
      <c r="F125" s="199"/>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row>
    <row r="126" spans="1:76" s="196" customFormat="1" ht="33" x14ac:dyDescent="0.25">
      <c r="A126" s="17"/>
      <c r="B126" s="509">
        <v>117</v>
      </c>
      <c r="C126" s="510" t="s">
        <v>561</v>
      </c>
      <c r="D126" s="511">
        <v>120</v>
      </c>
      <c r="E126" s="248">
        <f>D126*4.5/1000*1753718.9-0.01</f>
        <v>947008.196</v>
      </c>
      <c r="F126" s="513"/>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row>
    <row r="127" spans="1:76" s="196" customFormat="1" ht="33" x14ac:dyDescent="0.25">
      <c r="A127" s="17"/>
      <c r="B127" s="197">
        <v>118</v>
      </c>
      <c r="C127" s="178" t="s">
        <v>563</v>
      </c>
      <c r="D127" s="213">
        <v>475</v>
      </c>
      <c r="E127" s="200">
        <f>D127*4.5/1000*1753718.9</f>
        <v>3748574.1487500002</v>
      </c>
      <c r="F127" s="199"/>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row>
    <row r="128" spans="1:76" s="196" customFormat="1" ht="33" x14ac:dyDescent="0.25">
      <c r="A128" s="17"/>
      <c r="B128" s="197">
        <v>119</v>
      </c>
      <c r="C128" s="178" t="s">
        <v>564</v>
      </c>
      <c r="D128" s="213">
        <v>289</v>
      </c>
      <c r="E128" s="200">
        <f>D128*4.5/1000*1753718.9</f>
        <v>2280711.4294499997</v>
      </c>
      <c r="F128" s="199"/>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row>
    <row r="129" spans="1:76" s="196" customFormat="1" ht="33" x14ac:dyDescent="0.25">
      <c r="A129" s="17"/>
      <c r="B129" s="197">
        <v>120</v>
      </c>
      <c r="C129" s="178" t="s">
        <v>565</v>
      </c>
      <c r="D129" s="213">
        <v>253</v>
      </c>
      <c r="E129" s="200">
        <f>D129*4.5/1000*1753718.9</f>
        <v>1996608.96765</v>
      </c>
      <c r="F129" s="199"/>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row>
    <row r="130" spans="1:76" s="196" customFormat="1" ht="33" x14ac:dyDescent="0.25">
      <c r="A130" s="17"/>
      <c r="B130" s="197">
        <v>121</v>
      </c>
      <c r="C130" s="178" t="s">
        <v>566</v>
      </c>
      <c r="D130" s="213">
        <v>206</v>
      </c>
      <c r="E130" s="200">
        <f>D130*4.5/1000*1753718.9</f>
        <v>1625697.4202999999</v>
      </c>
      <c r="F130" s="199"/>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row>
    <row r="131" spans="1:76" s="196" customFormat="1" ht="33" x14ac:dyDescent="0.25">
      <c r="A131" s="17"/>
      <c r="B131" s="509">
        <v>122</v>
      </c>
      <c r="C131" s="510" t="s">
        <v>567</v>
      </c>
      <c r="D131" s="511">
        <v>96</v>
      </c>
      <c r="E131" s="248">
        <f>D131*4.5/1000*1753718-0.02</f>
        <v>757606.15599999996</v>
      </c>
      <c r="F131" s="513"/>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row>
    <row r="132" spans="1:76" s="196" customFormat="1" ht="33" x14ac:dyDescent="0.25">
      <c r="A132" s="17"/>
      <c r="B132" s="197">
        <v>123</v>
      </c>
      <c r="C132" s="178" t="s">
        <v>562</v>
      </c>
      <c r="D132" s="213">
        <v>1400</v>
      </c>
      <c r="E132" s="248">
        <f>D132*4.5/1000*1753718.9*1.5-322491.557</f>
        <v>16250152.047999997</v>
      </c>
      <c r="F132" s="199"/>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row>
    <row r="133" spans="1:76" s="207" customFormat="1" ht="16.5" x14ac:dyDescent="0.25">
      <c r="A133" s="174"/>
      <c r="B133" s="202"/>
      <c r="C133" s="205" t="s">
        <v>481</v>
      </c>
      <c r="D133" s="206">
        <f>SUM(D74:D132)</f>
        <v>35319</v>
      </c>
      <c r="E133" s="206">
        <f>SUM(E74:E132)</f>
        <v>303059855.11082494</v>
      </c>
      <c r="F133" s="203"/>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74"/>
      <c r="AC133" s="174"/>
      <c r="AD133" s="174"/>
      <c r="AE133" s="174"/>
      <c r="AF133" s="174"/>
      <c r="AG133" s="174"/>
      <c r="AH133" s="174"/>
      <c r="AI133" s="174"/>
      <c r="AJ133" s="174"/>
      <c r="AK133" s="174"/>
      <c r="AL133" s="174"/>
      <c r="AM133" s="174"/>
      <c r="AN133" s="174"/>
      <c r="AO133" s="174"/>
      <c r="AP133" s="174"/>
      <c r="AQ133" s="174"/>
      <c r="AR133" s="174"/>
      <c r="AS133" s="174"/>
      <c r="AT133" s="174"/>
      <c r="AU133" s="174"/>
      <c r="AV133" s="174"/>
      <c r="AW133" s="174"/>
      <c r="AX133" s="174"/>
      <c r="AY133" s="174"/>
      <c r="AZ133" s="174"/>
      <c r="BA133" s="174"/>
      <c r="BB133" s="174"/>
      <c r="BC133" s="174"/>
      <c r="BD133" s="174"/>
      <c r="BE133" s="174"/>
      <c r="BF133" s="174"/>
      <c r="BG133" s="174"/>
      <c r="BH133" s="174"/>
      <c r="BI133" s="174"/>
      <c r="BJ133" s="174"/>
      <c r="BK133" s="174"/>
      <c r="BL133" s="174"/>
      <c r="BM133" s="174"/>
      <c r="BN133" s="174"/>
      <c r="BO133" s="174"/>
      <c r="BP133" s="174"/>
      <c r="BQ133" s="174"/>
      <c r="BR133" s="174"/>
      <c r="BS133" s="174"/>
      <c r="BT133" s="174"/>
      <c r="BU133" s="174"/>
      <c r="BV133" s="174"/>
      <c r="BW133" s="174"/>
      <c r="BX133" s="174"/>
    </row>
    <row r="134" spans="1:76" ht="27" customHeight="1" x14ac:dyDescent="0.25">
      <c r="D134" s="488">
        <f>D133+D72+D12</f>
        <v>78148</v>
      </c>
      <c r="E134" s="142">
        <f>E133+E72+E12</f>
        <v>641054975.58727503</v>
      </c>
    </row>
  </sheetData>
  <mergeCells count="9">
    <mergeCell ref="B13:F13"/>
    <mergeCell ref="B73:F73"/>
    <mergeCell ref="B2:F2"/>
    <mergeCell ref="B4:F4"/>
    <mergeCell ref="C92:C93"/>
    <mergeCell ref="B92:B93"/>
    <mergeCell ref="D92:D93"/>
    <mergeCell ref="E92:E93"/>
    <mergeCell ref="F92:F9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H19"/>
  <sheetViews>
    <sheetView zoomScaleNormal="100" workbookViewId="0">
      <selection activeCell="G24" sqref="G24"/>
    </sheetView>
  </sheetViews>
  <sheetFormatPr defaultRowHeight="15.75" x14ac:dyDescent="0.25"/>
  <cols>
    <col min="1" max="1" width="5.7109375" style="4" customWidth="1"/>
    <col min="2" max="2" width="67.7109375" style="4" customWidth="1"/>
    <col min="3" max="3" width="7.5703125" style="4" customWidth="1"/>
    <col min="4" max="4" width="26.7109375" style="4" customWidth="1"/>
    <col min="5" max="16384" width="9.140625" style="4"/>
  </cols>
  <sheetData>
    <row r="3" spans="1:8" ht="25.5" customHeight="1" x14ac:dyDescent="0.25">
      <c r="C3" s="651" t="s">
        <v>101</v>
      </c>
      <c r="D3" s="651"/>
    </row>
    <row r="4" spans="1:8" ht="25.5" customHeight="1" x14ac:dyDescent="0.25">
      <c r="A4" s="5"/>
      <c r="B4" s="760" t="s">
        <v>136</v>
      </c>
      <c r="C4" s="802"/>
      <c r="D4" s="802"/>
    </row>
    <row r="5" spans="1:8" ht="25.5" customHeight="1" x14ac:dyDescent="0.25">
      <c r="A5" s="5"/>
      <c r="B5" s="760" t="s">
        <v>100</v>
      </c>
      <c r="C5" s="801"/>
      <c r="D5" s="801"/>
    </row>
    <row r="6" spans="1:8" ht="25.5" customHeight="1" x14ac:dyDescent="0.25">
      <c r="A6" s="5"/>
      <c r="B6" s="760" t="s">
        <v>99</v>
      </c>
      <c r="C6" s="801"/>
      <c r="D6" s="801"/>
    </row>
    <row r="7" spans="1:8" x14ac:dyDescent="0.25">
      <c r="A7" s="1"/>
    </row>
    <row r="8" spans="1:8" ht="21" customHeight="1" x14ac:dyDescent="0.25">
      <c r="A8" s="757"/>
      <c r="B8" s="757"/>
      <c r="C8" s="757"/>
      <c r="D8" s="757"/>
    </row>
    <row r="9" spans="1:8" ht="16.5" thickBot="1" x14ac:dyDescent="0.3">
      <c r="A9" s="3"/>
    </row>
    <row r="10" spans="1:8" ht="18" customHeight="1" x14ac:dyDescent="0.25">
      <c r="A10" s="799" t="s">
        <v>90</v>
      </c>
      <c r="B10" s="800" t="s">
        <v>103</v>
      </c>
      <c r="C10" s="800" t="s">
        <v>102</v>
      </c>
      <c r="D10" s="769" t="s">
        <v>111</v>
      </c>
    </row>
    <row r="11" spans="1:8" ht="67.5" customHeight="1" x14ac:dyDescent="0.25">
      <c r="A11" s="762"/>
      <c r="B11" s="763"/>
      <c r="C11" s="763"/>
      <c r="D11" s="770"/>
    </row>
    <row r="12" spans="1:8" ht="78.75" x14ac:dyDescent="0.25">
      <c r="A12" s="10">
        <v>1</v>
      </c>
      <c r="B12" s="6" t="s">
        <v>104</v>
      </c>
      <c r="C12" s="19" t="s">
        <v>95</v>
      </c>
      <c r="D12" s="20">
        <f>прил.3!E20</f>
        <v>14.6</v>
      </c>
      <c r="E12" s="3"/>
    </row>
    <row r="13" spans="1:8" ht="47.25" x14ac:dyDescent="0.25">
      <c r="A13" s="10">
        <v>2</v>
      </c>
      <c r="B13" s="6" t="s">
        <v>106</v>
      </c>
      <c r="C13" s="7" t="s">
        <v>105</v>
      </c>
      <c r="D13" s="11">
        <v>0</v>
      </c>
      <c r="F13" s="8" t="s">
        <v>109</v>
      </c>
      <c r="G13" s="8" t="s">
        <v>110</v>
      </c>
    </row>
    <row r="14" spans="1:8" ht="78.75" x14ac:dyDescent="0.25">
      <c r="A14" s="10">
        <v>3</v>
      </c>
      <c r="B14" s="6" t="s">
        <v>107</v>
      </c>
      <c r="C14" s="7" t="s">
        <v>105</v>
      </c>
      <c r="D14" s="12">
        <f>SUM('целевые показатели'!G142:G157,'целевые показатели'!G44:G44)</f>
        <v>21.200000000000003</v>
      </c>
      <c r="F14" s="4">
        <f>SUM('целевые показатели'!G44:G50)</f>
        <v>4.7299999999999995</v>
      </c>
      <c r="G14" s="4">
        <f>SUM('целевые показатели'!G142:G144)</f>
        <v>4.8950000000000005</v>
      </c>
      <c r="H14" s="4">
        <f>SUM(F14:G14)</f>
        <v>9.625</v>
      </c>
    </row>
    <row r="15" spans="1:8" ht="66.75" customHeight="1" thickBot="1" x14ac:dyDescent="0.3">
      <c r="A15" s="13">
        <v>4</v>
      </c>
      <c r="B15" s="14" t="s">
        <v>108</v>
      </c>
      <c r="C15" s="15" t="s">
        <v>105</v>
      </c>
      <c r="D15" s="16">
        <v>0</v>
      </c>
    </row>
    <row r="18" spans="1:6" ht="18.75" x14ac:dyDescent="0.3">
      <c r="A18" s="2" t="s">
        <v>126</v>
      </c>
      <c r="B18" s="2"/>
      <c r="C18" s="2"/>
      <c r="D18" s="9"/>
      <c r="E18" s="9"/>
      <c r="F18" s="9"/>
    </row>
    <row r="19" spans="1:6" ht="18.75" x14ac:dyDescent="0.3">
      <c r="A19" s="2" t="s">
        <v>127</v>
      </c>
      <c r="B19" s="2"/>
      <c r="C19" s="2"/>
      <c r="D19" s="2" t="s">
        <v>128</v>
      </c>
      <c r="E19" s="798"/>
      <c r="F19" s="798"/>
    </row>
  </sheetData>
  <mergeCells count="10">
    <mergeCell ref="C3:D3"/>
    <mergeCell ref="A8:D8"/>
    <mergeCell ref="B6:D6"/>
    <mergeCell ref="B5:D5"/>
    <mergeCell ref="B4:D4"/>
    <mergeCell ref="E19:F19"/>
    <mergeCell ref="D10:D11"/>
    <mergeCell ref="A10:A11"/>
    <mergeCell ref="B10:B11"/>
    <mergeCell ref="C10:C11"/>
  </mergeCells>
  <pageMargins left="0.7" right="0.7" top="0.75" bottom="0.75" header="0.3" footer="0.3"/>
  <pageSetup paperSize="9" scale="81" orientation="portrait" r:id="rId1"/>
  <colBreaks count="1" manualBreakCount="1">
    <brk id="4"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5"/>
  <sheetViews>
    <sheetView zoomScaleNormal="100" workbookViewId="0">
      <pane ySplit="6" topLeftCell="A7" activePane="bottomLeft" state="frozen"/>
      <selection pane="bottomLeft" activeCell="E22" sqref="E22"/>
    </sheetView>
  </sheetViews>
  <sheetFormatPr defaultRowHeight="15.75" x14ac:dyDescent="0.25"/>
  <cols>
    <col min="1" max="1" width="59.42578125" style="1" customWidth="1"/>
    <col min="2" max="3" width="20.42578125" style="1" customWidth="1"/>
    <col min="4" max="4" width="20.5703125" style="25" customWidth="1"/>
    <col min="5" max="5" width="16.140625" style="1" customWidth="1"/>
    <col min="6" max="6" width="9.140625" style="1" customWidth="1"/>
    <col min="7" max="7" width="26.7109375" style="1" customWidth="1"/>
    <col min="8" max="8" width="12.7109375" style="3" customWidth="1"/>
    <col min="9" max="9" width="12.42578125" style="1" bestFit="1" customWidth="1"/>
    <col min="10" max="10" width="27.5703125" style="1" customWidth="1"/>
    <col min="11" max="16384" width="9.140625" style="1"/>
  </cols>
  <sheetData>
    <row r="2" spans="1:9" x14ac:dyDescent="0.25">
      <c r="A2" s="810" t="s">
        <v>189</v>
      </c>
      <c r="B2" s="781"/>
      <c r="C2" s="781"/>
    </row>
    <row r="3" spans="1:9" ht="18.75" x14ac:dyDescent="0.25">
      <c r="A3" s="36"/>
      <c r="B3" s="37"/>
      <c r="C3" s="37"/>
    </row>
    <row r="4" spans="1:9" x14ac:dyDescent="0.25">
      <c r="A4" s="38" t="s">
        <v>228</v>
      </c>
      <c r="B4" s="26" t="s">
        <v>192</v>
      </c>
      <c r="C4" s="26" t="s">
        <v>193</v>
      </c>
    </row>
    <row r="5" spans="1:9" x14ac:dyDescent="0.25">
      <c r="A5" s="807" t="s">
        <v>129</v>
      </c>
      <c r="B5" s="808"/>
      <c r="C5" s="809"/>
    </row>
    <row r="6" spans="1:9" ht="48" customHeight="1" x14ac:dyDescent="0.25">
      <c r="A6" s="807" t="s">
        <v>148</v>
      </c>
      <c r="B6" s="811"/>
      <c r="C6" s="812"/>
    </row>
    <row r="7" spans="1:9" s="30" customFormat="1" ht="31.5" x14ac:dyDescent="0.25">
      <c r="A7" s="27" t="s">
        <v>190</v>
      </c>
      <c r="B7" s="28">
        <f>SUM(B8:B9)</f>
        <v>10211278.07</v>
      </c>
      <c r="C7" s="28"/>
      <c r="D7" s="29">
        <f>'целевые показатели'!I34</f>
        <v>10314.42231</v>
      </c>
      <c r="H7" s="48"/>
    </row>
    <row r="8" spans="1:9" x14ac:dyDescent="0.25">
      <c r="A8" s="24" t="s">
        <v>191</v>
      </c>
      <c r="B8" s="23">
        <v>1349578.61</v>
      </c>
      <c r="C8" s="23"/>
      <c r="G8" s="1" t="s">
        <v>255</v>
      </c>
    </row>
    <row r="9" spans="1:9" x14ac:dyDescent="0.25">
      <c r="A9" s="24" t="s">
        <v>191</v>
      </c>
      <c r="B9" s="23">
        <v>8861699.4600000009</v>
      </c>
      <c r="C9" s="23"/>
      <c r="D9" s="25">
        <v>8837345.4600000009</v>
      </c>
      <c r="E9" s="25">
        <f>B9-D9</f>
        <v>24354</v>
      </c>
      <c r="G9" s="1" t="s">
        <v>256</v>
      </c>
      <c r="H9" s="49">
        <v>24354</v>
      </c>
      <c r="I9" s="25" t="s">
        <v>259</v>
      </c>
    </row>
    <row r="10" spans="1:9" x14ac:dyDescent="0.25">
      <c r="A10" s="31" t="s">
        <v>130</v>
      </c>
      <c r="B10" s="32"/>
      <c r="C10" s="33"/>
    </row>
    <row r="11" spans="1:9" ht="31.5" customHeight="1" x14ac:dyDescent="0.25">
      <c r="A11" s="807" t="s">
        <v>15</v>
      </c>
      <c r="B11" s="811"/>
      <c r="C11" s="812"/>
    </row>
    <row r="12" spans="1:9" s="30" customFormat="1" ht="31.5" x14ac:dyDescent="0.25">
      <c r="A12" s="27" t="s">
        <v>190</v>
      </c>
      <c r="B12" s="28">
        <f>SUM(B13:B16)</f>
        <v>47431901.493900001</v>
      </c>
      <c r="C12" s="28">
        <f>SUM(C13:C14)</f>
        <v>0</v>
      </c>
      <c r="D12" s="29">
        <f>'целевые показатели'!I130</f>
        <v>19371.843597999999</v>
      </c>
      <c r="H12" s="48"/>
    </row>
    <row r="13" spans="1:9" ht="31.5" x14ac:dyDescent="0.25">
      <c r="A13" s="18" t="s">
        <v>194</v>
      </c>
      <c r="B13" s="23">
        <v>4938009.5456999997</v>
      </c>
      <c r="C13" s="23"/>
    </row>
    <row r="14" spans="1:9" x14ac:dyDescent="0.25">
      <c r="A14" s="18" t="s">
        <v>195</v>
      </c>
      <c r="B14" s="23">
        <v>19497098.412</v>
      </c>
      <c r="C14" s="23"/>
      <c r="G14" s="1" t="s">
        <v>260</v>
      </c>
      <c r="H14" s="50" t="s">
        <v>261</v>
      </c>
    </row>
    <row r="15" spans="1:9" ht="31.5" x14ac:dyDescent="0.25">
      <c r="A15" s="18" t="s">
        <v>196</v>
      </c>
      <c r="B15" s="23">
        <v>7038983.5362</v>
      </c>
      <c r="C15" s="23"/>
    </row>
    <row r="16" spans="1:9" ht="31.5" x14ac:dyDescent="0.25">
      <c r="A16" s="18" t="s">
        <v>197</v>
      </c>
      <c r="B16" s="23">
        <v>15957810</v>
      </c>
      <c r="C16" s="23"/>
      <c r="D16" s="34">
        <f>19178.12516+28253.77632</f>
        <v>47431.90148</v>
      </c>
      <c r="G16" s="1" t="s">
        <v>258</v>
      </c>
    </row>
    <row r="17" spans="1:10" x14ac:dyDescent="0.25">
      <c r="A17" s="40" t="s">
        <v>131</v>
      </c>
      <c r="B17" s="25"/>
      <c r="C17" s="25"/>
    </row>
    <row r="18" spans="1:10" ht="80.25" customHeight="1" x14ac:dyDescent="0.25">
      <c r="A18" s="813" t="s">
        <v>14</v>
      </c>
      <c r="B18" s="811"/>
      <c r="C18" s="812"/>
    </row>
    <row r="19" spans="1:10" ht="31.5" x14ac:dyDescent="0.25">
      <c r="A19" s="27" t="s">
        <v>190</v>
      </c>
      <c r="B19" s="28">
        <f>SUM(B20:B24)</f>
        <v>82538739.726300001</v>
      </c>
      <c r="C19" s="28">
        <f>SUM(C20:C24)</f>
        <v>1007319.7836999999</v>
      </c>
      <c r="D19" s="25">
        <f>'целевые показатели'!I159</f>
        <v>83546.059510000006</v>
      </c>
    </row>
    <row r="20" spans="1:10" x14ac:dyDescent="0.25">
      <c r="A20" s="18" t="s">
        <v>198</v>
      </c>
      <c r="B20" s="23">
        <v>0</v>
      </c>
      <c r="C20" s="23">
        <v>81721.5</v>
      </c>
    </row>
    <row r="21" spans="1:10" x14ac:dyDescent="0.25">
      <c r="A21" s="18" t="s">
        <v>199</v>
      </c>
      <c r="B21" s="23">
        <v>0</v>
      </c>
      <c r="C21" s="23">
        <v>91873.64</v>
      </c>
    </row>
    <row r="22" spans="1:10" x14ac:dyDescent="0.25">
      <c r="A22" s="18" t="s">
        <v>225</v>
      </c>
      <c r="B22" s="23">
        <v>10520883.430200001</v>
      </c>
      <c r="C22" s="23">
        <f>D22-B22</f>
        <v>106271.54979999922</v>
      </c>
      <c r="D22" s="35">
        <v>10627154.98</v>
      </c>
    </row>
    <row r="23" spans="1:10" x14ac:dyDescent="0.25">
      <c r="A23" s="18" t="s">
        <v>226</v>
      </c>
      <c r="B23" s="23">
        <v>62847889.909199998</v>
      </c>
      <c r="C23" s="23">
        <f>D23-B23</f>
        <v>634827.17080000043</v>
      </c>
      <c r="D23" s="35">
        <v>63482717.079999998</v>
      </c>
    </row>
    <row r="24" spans="1:10" x14ac:dyDescent="0.25">
      <c r="A24" s="41" t="s">
        <v>227</v>
      </c>
      <c r="B24" s="39">
        <v>9169966.3869000003</v>
      </c>
      <c r="C24" s="39">
        <f>D24-B24</f>
        <v>92625.923100000247</v>
      </c>
      <c r="D24" s="35">
        <v>9262592.3100000005</v>
      </c>
    </row>
    <row r="25" spans="1:10" x14ac:dyDescent="0.25">
      <c r="A25" s="42" t="s">
        <v>132</v>
      </c>
      <c r="B25" s="43"/>
      <c r="C25" s="35"/>
    </row>
    <row r="26" spans="1:10" ht="30.75" customHeight="1" x14ac:dyDescent="0.25">
      <c r="A26" s="804" t="s">
        <v>13</v>
      </c>
      <c r="B26" s="805"/>
      <c r="C26" s="806"/>
    </row>
    <row r="27" spans="1:10" ht="31.5" x14ac:dyDescent="0.25">
      <c r="A27" s="27" t="s">
        <v>190</v>
      </c>
      <c r="B27" s="55">
        <f>SUM(B28:B33)</f>
        <v>5806.1473854999995</v>
      </c>
      <c r="C27" s="55">
        <f>SUM(C28:C33)</f>
        <v>305.58670450000022</v>
      </c>
      <c r="D27" s="34">
        <f>SUM(B27:C27)</f>
        <v>6111.7340899999999</v>
      </c>
    </row>
    <row r="28" spans="1:10" ht="63" x14ac:dyDescent="0.25">
      <c r="A28" s="44" t="s">
        <v>210</v>
      </c>
      <c r="B28" s="45">
        <f t="shared" ref="B28:B33" si="0">D28*0.95</f>
        <v>1523.07078</v>
      </c>
      <c r="C28" s="22">
        <f t="shared" ref="C28:C33" si="1">D28-B28</f>
        <v>80.161620000000084</v>
      </c>
      <c r="D28" s="34">
        <v>1603.2324000000001</v>
      </c>
      <c r="G28" s="803" t="s">
        <v>257</v>
      </c>
      <c r="H28" s="756"/>
    </row>
    <row r="29" spans="1:10" ht="63" x14ac:dyDescent="0.25">
      <c r="A29" s="44" t="s">
        <v>217</v>
      </c>
      <c r="B29" s="45">
        <f t="shared" si="0"/>
        <v>2046.5537544999997</v>
      </c>
      <c r="C29" s="22">
        <f t="shared" si="1"/>
        <v>107.71335550000003</v>
      </c>
      <c r="D29" s="34">
        <v>2154.2671099999998</v>
      </c>
      <c r="G29" s="51">
        <f>B29*0.95</f>
        <v>1944.2260667749997</v>
      </c>
    </row>
    <row r="30" spans="1:10" s="51" customFormat="1" ht="63" x14ac:dyDescent="0.25">
      <c r="A30" s="52" t="s">
        <v>218</v>
      </c>
      <c r="B30" s="45">
        <f t="shared" si="0"/>
        <v>1414.7846309999998</v>
      </c>
      <c r="C30" s="22">
        <f t="shared" si="1"/>
        <v>74.462349000000131</v>
      </c>
      <c r="D30" s="56">
        <v>1489.2469799999999</v>
      </c>
      <c r="E30" s="51">
        <v>1433.933192</v>
      </c>
      <c r="F30" s="51">
        <v>75.470168000000058</v>
      </c>
      <c r="H30" s="53"/>
      <c r="I30" s="54"/>
      <c r="J30" s="54"/>
    </row>
    <row r="31" spans="1:10" ht="47.25" x14ac:dyDescent="0.25">
      <c r="A31" s="44" t="s">
        <v>219</v>
      </c>
      <c r="B31" s="45">
        <f t="shared" si="0"/>
        <v>388.32239900000002</v>
      </c>
      <c r="C31" s="22">
        <f t="shared" si="1"/>
        <v>20.438020999999992</v>
      </c>
      <c r="D31" s="34">
        <v>408.76042000000001</v>
      </c>
      <c r="G31" s="51"/>
    </row>
    <row r="32" spans="1:10" ht="47.25" x14ac:dyDescent="0.25">
      <c r="A32" s="44" t="s">
        <v>220</v>
      </c>
      <c r="B32" s="45">
        <f t="shared" si="0"/>
        <v>33.460177999999999</v>
      </c>
      <c r="C32" s="22">
        <f t="shared" si="1"/>
        <v>1.7610620000000026</v>
      </c>
      <c r="D32" s="34">
        <v>35.221240000000002</v>
      </c>
      <c r="G32" s="51"/>
    </row>
    <row r="33" spans="1:10" ht="47.25" x14ac:dyDescent="0.25">
      <c r="A33" s="44" t="s">
        <v>221</v>
      </c>
      <c r="B33" s="45">
        <f t="shared" si="0"/>
        <v>399.95564300000001</v>
      </c>
      <c r="C33" s="22">
        <f t="shared" si="1"/>
        <v>21.050297</v>
      </c>
      <c r="D33" s="34">
        <v>421.00594000000001</v>
      </c>
      <c r="G33" s="51">
        <f>B33*0.95</f>
        <v>379.95786084999997</v>
      </c>
      <c r="J33" s="34">
        <f>G29+J30+G31+G32+G33+J28</f>
        <v>2324.1839276249998</v>
      </c>
    </row>
    <row r="34" spans="1:10" x14ac:dyDescent="0.25">
      <c r="D34" s="25">
        <f>SUM(D29:D33)</f>
        <v>4508.5016899999991</v>
      </c>
      <c r="J34" s="1">
        <v>5806.1473854999995</v>
      </c>
    </row>
    <row r="35" spans="1:10" x14ac:dyDescent="0.25">
      <c r="D35" s="25">
        <v>1170</v>
      </c>
    </row>
  </sheetData>
  <mergeCells count="7">
    <mergeCell ref="G28:H28"/>
    <mergeCell ref="A26:C26"/>
    <mergeCell ref="A5:C5"/>
    <mergeCell ref="A2:C2"/>
    <mergeCell ref="A6:C6"/>
    <mergeCell ref="A11:C11"/>
    <mergeCell ref="A18:C18"/>
  </mergeCells>
  <pageMargins left="0.7" right="0.7" top="0.75" bottom="0.75" header="0.3" footer="0.3"/>
  <pageSetup paperSize="9" scale="62"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22"/>
  <sheetViews>
    <sheetView workbookViewId="0">
      <selection activeCell="G15" sqref="G15"/>
    </sheetView>
  </sheetViews>
  <sheetFormatPr defaultRowHeight="15" x14ac:dyDescent="0.25"/>
  <cols>
    <col min="1" max="1" width="5.7109375" style="83" customWidth="1"/>
    <col min="2" max="2" width="59.7109375" style="82" customWidth="1"/>
    <col min="3" max="3" width="9.140625" style="148"/>
    <col min="4" max="4" width="14.7109375" style="81" customWidth="1"/>
    <col min="5" max="5" width="9.140625" style="81"/>
    <col min="6" max="6" width="14.85546875" style="81" customWidth="1"/>
    <col min="7" max="7" width="18.85546875" style="81" customWidth="1"/>
    <col min="8" max="8" width="15.5703125" style="81" bestFit="1" customWidth="1"/>
    <col min="9" max="9" width="17.140625" style="81" customWidth="1"/>
    <col min="10" max="16384" width="9.140625" style="81"/>
  </cols>
  <sheetData>
    <row r="2" spans="1:9" ht="24" customHeight="1" x14ac:dyDescent="0.25">
      <c r="C2" s="814" t="s">
        <v>484</v>
      </c>
      <c r="D2" s="815"/>
      <c r="E2" s="814" t="s">
        <v>480</v>
      </c>
      <c r="F2" s="815"/>
    </row>
    <row r="3" spans="1:9" ht="21" customHeight="1" x14ac:dyDescent="0.25">
      <c r="A3" s="145">
        <v>1</v>
      </c>
      <c r="B3" s="143" t="s">
        <v>153</v>
      </c>
      <c r="C3" s="151" t="s">
        <v>222</v>
      </c>
      <c r="D3" s="153">
        <v>21875829</v>
      </c>
      <c r="E3" s="152" t="s">
        <v>222</v>
      </c>
      <c r="F3" s="161">
        <v>12511418.380000001</v>
      </c>
    </row>
    <row r="4" spans="1:9" ht="21" customHeight="1" x14ac:dyDescent="0.25">
      <c r="A4" s="145">
        <v>2</v>
      </c>
      <c r="B4" s="143" t="str">
        <f>'целевые показатели'!B45</f>
        <v>ул.Мостовая</v>
      </c>
      <c r="C4" s="147">
        <v>1.97</v>
      </c>
      <c r="D4" s="146">
        <v>38647633.920000002</v>
      </c>
      <c r="E4" s="154">
        <v>1.97</v>
      </c>
      <c r="F4" s="162">
        <v>38647633.920000002</v>
      </c>
    </row>
    <row r="5" spans="1:9" s="160" customFormat="1" x14ac:dyDescent="0.25">
      <c r="A5" s="156">
        <v>3</v>
      </c>
      <c r="B5" s="157" t="str">
        <f>'целевые показатели'!B46</f>
        <v>ул.Генерала Родина на участке от ул.Мостовой до ул.Веселой</v>
      </c>
      <c r="C5" s="163">
        <v>0.95</v>
      </c>
      <c r="D5" s="155">
        <v>9261915.9199999999</v>
      </c>
      <c r="E5" s="164">
        <v>0.91</v>
      </c>
      <c r="F5" s="165">
        <v>9261918.9199999999</v>
      </c>
      <c r="G5" s="160">
        <f>F5*0.99</f>
        <v>9169299.7307999991</v>
      </c>
      <c r="H5" s="160">
        <f>F5-G5</f>
        <v>92619.189200000837</v>
      </c>
    </row>
    <row r="6" spans="1:9" ht="30" x14ac:dyDescent="0.25">
      <c r="A6" s="145">
        <v>4</v>
      </c>
      <c r="B6" s="143" t="str">
        <f>'целевые показатели'!B47</f>
        <v>Наугорское шоссе от ул. Лескова до ул. Скворцова (1 этап от ул.Лескова до ул.Цветаева)</v>
      </c>
      <c r="C6" s="147">
        <v>0.97</v>
      </c>
      <c r="D6" s="146">
        <f>11337.80044*1000</f>
        <v>11337800.440000001</v>
      </c>
      <c r="E6" s="154">
        <v>0.97</v>
      </c>
      <c r="F6" s="162">
        <f>11337.80044*1000</f>
        <v>11337800.440000001</v>
      </c>
      <c r="G6" s="160"/>
      <c r="H6" s="160"/>
    </row>
    <row r="7" spans="1:9" s="160" customFormat="1" ht="21" customHeight="1" x14ac:dyDescent="0.25">
      <c r="A7" s="156">
        <v>5</v>
      </c>
      <c r="B7" s="157" t="str">
        <f>'целевые показатели'!B48</f>
        <v>Кромской проезд</v>
      </c>
      <c r="C7" s="163">
        <v>0.28000000000000003</v>
      </c>
      <c r="D7" s="155">
        <v>1791804</v>
      </c>
      <c r="E7" s="164">
        <v>0.18</v>
      </c>
      <c r="F7" s="165">
        <v>1703578.12</v>
      </c>
      <c r="G7" s="160">
        <f>F7*0.99</f>
        <v>1686542.3388</v>
      </c>
      <c r="H7" s="160">
        <f>F7-G7</f>
        <v>17035.781200000085</v>
      </c>
    </row>
    <row r="8" spans="1:9" ht="21" customHeight="1" x14ac:dyDescent="0.25">
      <c r="A8" s="145">
        <v>6</v>
      </c>
      <c r="B8" s="143" t="str">
        <f>'целевые показатели'!B49</f>
        <v xml:space="preserve">ул.Базовая </v>
      </c>
      <c r="C8" s="147">
        <v>0.40500000000000003</v>
      </c>
      <c r="D8" s="146">
        <v>6303572.0199999996</v>
      </c>
      <c r="E8" s="154">
        <v>0.45</v>
      </c>
      <c r="F8" s="162">
        <f>5729218.15+332310.21</f>
        <v>6061528.3600000003</v>
      </c>
      <c r="G8" s="160"/>
      <c r="H8" s="160"/>
    </row>
    <row r="9" spans="1:9" s="160" customFormat="1" ht="21" customHeight="1" x14ac:dyDescent="0.25">
      <c r="A9" s="156">
        <v>7</v>
      </c>
      <c r="B9" s="157" t="str">
        <f>'целевые показатели'!B50</f>
        <v xml:space="preserve">ул.Комсомольская в районе д. 95 </v>
      </c>
      <c r="C9" s="163">
        <v>0.33</v>
      </c>
      <c r="D9" s="155">
        <v>6500000</v>
      </c>
      <c r="E9" s="164">
        <v>0.25</v>
      </c>
      <c r="F9" s="165">
        <v>6500000</v>
      </c>
      <c r="G9" s="160">
        <f>F9*0.99</f>
        <v>6435000</v>
      </c>
      <c r="H9" s="160">
        <f>F9-G9</f>
        <v>65000</v>
      </c>
    </row>
    <row r="10" spans="1:9" s="160" customFormat="1" ht="30" x14ac:dyDescent="0.25">
      <c r="A10" s="156">
        <v>8</v>
      </c>
      <c r="B10" s="157" t="str">
        <f>'целевые показатели'!B51</f>
        <v>ул.МОПРа (от ул.Комсомольская до спец.пожарно-спасательной части ФПС по Орловской области)</v>
      </c>
      <c r="C10" s="163">
        <v>0.57299999999999995</v>
      </c>
      <c r="D10" s="155">
        <v>9059853.5999999996</v>
      </c>
      <c r="E10" s="164">
        <v>0.54400000000000004</v>
      </c>
      <c r="F10" s="165">
        <v>8709300.1899999995</v>
      </c>
      <c r="G10" s="160">
        <f>F10*0.99</f>
        <v>8622207.188099999</v>
      </c>
      <c r="H10" s="160">
        <f>F10-G10</f>
        <v>87093.001900000498</v>
      </c>
    </row>
    <row r="11" spans="1:9" s="160" customFormat="1" ht="30" x14ac:dyDescent="0.25">
      <c r="A11" s="156">
        <v>9</v>
      </c>
      <c r="B11" s="157" t="str">
        <f>'целевые показатели'!B52</f>
        <v>ремонт Комсомольской площади в районе м-на "ГАММА" (ул. Комсомольская д.102)</v>
      </c>
      <c r="C11" s="163">
        <v>0.47</v>
      </c>
      <c r="D11" s="155">
        <v>12028249.199999999</v>
      </c>
      <c r="E11" s="164">
        <v>0.371</v>
      </c>
      <c r="F11" s="165">
        <v>8580833.6600000001</v>
      </c>
      <c r="G11" s="160">
        <f>F11*0.99</f>
        <v>8495025.3234000001</v>
      </c>
      <c r="H11" s="160">
        <f>F11-G11</f>
        <v>85808.336600000039</v>
      </c>
    </row>
    <row r="12" spans="1:9" ht="21" customHeight="1" x14ac:dyDescent="0.25">
      <c r="A12" s="145">
        <v>10</v>
      </c>
      <c r="B12" s="143" t="str">
        <f>'целевые показатели'!B53</f>
        <v>ул.Германо</v>
      </c>
      <c r="C12" s="147">
        <v>0.97</v>
      </c>
      <c r="D12" s="146">
        <v>15675129.6</v>
      </c>
      <c r="E12" s="154">
        <v>1.47</v>
      </c>
      <c r="F12" s="162">
        <v>15231919.66</v>
      </c>
    </row>
    <row r="13" spans="1:9" ht="21" customHeight="1" x14ac:dyDescent="0.25">
      <c r="A13" s="145">
        <v>11</v>
      </c>
      <c r="B13" s="143" t="str">
        <f>'целевые показатели'!B54</f>
        <v>ул.Березовая</v>
      </c>
      <c r="C13" s="147">
        <v>1.29</v>
      </c>
      <c r="D13" s="146">
        <v>14352373.199999999</v>
      </c>
      <c r="E13" s="154">
        <v>1.29</v>
      </c>
      <c r="F13" s="162">
        <v>13849912.85</v>
      </c>
    </row>
    <row r="14" spans="1:9" ht="21" customHeight="1" x14ac:dyDescent="0.25">
      <c r="A14" s="145">
        <v>12</v>
      </c>
      <c r="B14" s="143" t="str">
        <f>'целевые показатели'!B55</f>
        <v>пер.Ремонтный до ул.Паровозная</v>
      </c>
      <c r="C14" s="147">
        <v>1.03</v>
      </c>
      <c r="D14" s="146">
        <v>10933666.800000001</v>
      </c>
      <c r="E14" s="154">
        <v>1.3</v>
      </c>
      <c r="F14" s="162">
        <v>10413806.16</v>
      </c>
    </row>
    <row r="15" spans="1:9" ht="75" x14ac:dyDescent="0.25">
      <c r="A15" s="145">
        <v>13</v>
      </c>
      <c r="B15" s="143" t="str">
        <f>'целевые показатели'!B244</f>
        <v>Капитальный ремонт улично-дорожной сети города Орла
по ул. Салтыкова-Щедрина, ул. Тургенева от дома № 15 до дома № 19, ул. Полесская от дома № 29А до дома № 18 по ул. Салтыкова-Щедрина, ул. Гуртьева от дома № 2 до дома № 6, ул. Красноармейская от дома № 4 до дома № 6</v>
      </c>
      <c r="C15" s="147">
        <v>1.47</v>
      </c>
      <c r="D15" s="146">
        <v>30430207.600000001</v>
      </c>
      <c r="E15" s="144">
        <v>0</v>
      </c>
      <c r="F15" s="162">
        <v>0</v>
      </c>
    </row>
    <row r="16" spans="1:9" ht="30" x14ac:dyDescent="0.25">
      <c r="A16" s="145">
        <v>14</v>
      </c>
      <c r="B16" s="143" t="str">
        <f>'целевые показатели'!B245</f>
        <v>Капитальный ремонт улично-дорожной сети города Орла
по ул. Пионерская</v>
      </c>
      <c r="C16" s="144">
        <f>0.928</f>
        <v>0.92800000000000005</v>
      </c>
      <c r="D16" s="146">
        <v>72000000</v>
      </c>
      <c r="E16" s="144">
        <f>0.928-0.928</f>
        <v>0</v>
      </c>
      <c r="F16" s="162">
        <v>53978952.090000004</v>
      </c>
      <c r="H16" s="81">
        <f>SUM(F3:F16)</f>
        <v>196788602.75</v>
      </c>
      <c r="I16" s="81">
        <f>H16*0.99</f>
        <v>194820716.7225</v>
      </c>
    </row>
    <row r="17" spans="1:9" ht="30" x14ac:dyDescent="0.25">
      <c r="A17" s="145">
        <v>15</v>
      </c>
      <c r="B17" s="143" t="str">
        <f>'целевые показатели'!B247</f>
        <v>Капитальный ремонт улично-дорожной сети города Орла по ул. Кольцевая</v>
      </c>
      <c r="C17" s="149" t="s">
        <v>222</v>
      </c>
      <c r="D17" s="146">
        <v>9931602.5099999998</v>
      </c>
      <c r="E17" s="144">
        <f>1.16-1.16</f>
        <v>0</v>
      </c>
      <c r="F17" s="146">
        <v>0</v>
      </c>
      <c r="I17" s="81">
        <f>H16-I16</f>
        <v>1967886.0275000036</v>
      </c>
    </row>
    <row r="18" spans="1:9" x14ac:dyDescent="0.25">
      <c r="A18" s="145">
        <v>16</v>
      </c>
      <c r="B18" s="143" t="s">
        <v>482</v>
      </c>
      <c r="C18" s="149" t="s">
        <v>222</v>
      </c>
      <c r="D18" s="146">
        <f>693900+488300+128500+77100+102800+411200+77100+102800+77100+77100+154200+77100+25700+25700+51400+51400+25700</f>
        <v>2647100</v>
      </c>
      <c r="E18" s="144"/>
      <c r="F18" s="146">
        <v>2645218.2000000002</v>
      </c>
    </row>
    <row r="19" spans="1:9" x14ac:dyDescent="0.25">
      <c r="A19" s="145">
        <v>17</v>
      </c>
      <c r="B19" s="143" t="s">
        <v>483</v>
      </c>
      <c r="C19" s="149"/>
      <c r="D19" s="146">
        <f>12420168+19371843.6+(2686500*6)</f>
        <v>47911011.600000001</v>
      </c>
      <c r="E19" s="144"/>
      <c r="F19" s="146">
        <f>16119000+12420168+19371843.6</f>
        <v>47911011.600000001</v>
      </c>
    </row>
    <row r="20" spans="1:9" s="160" customFormat="1" x14ac:dyDescent="0.25">
      <c r="A20" s="156"/>
      <c r="B20" s="157" t="s">
        <v>485</v>
      </c>
      <c r="C20" s="158"/>
      <c r="D20" s="155"/>
      <c r="E20" s="159"/>
      <c r="F20" s="155">
        <v>66080225.75</v>
      </c>
    </row>
    <row r="21" spans="1:9" ht="29.25" customHeight="1" x14ac:dyDescent="0.25">
      <c r="B21" s="150" t="s">
        <v>481</v>
      </c>
      <c r="C21" s="148">
        <f>SUM(C4:C17)</f>
        <v>11.635999999999999</v>
      </c>
      <c r="D21" s="86">
        <f>SUM(D3:D19)</f>
        <v>320687749.41000003</v>
      </c>
      <c r="E21" s="81">
        <f>SUM(E3:E19)</f>
        <v>9.7050000000000001</v>
      </c>
      <c r="F21" s="86">
        <f>SUM(F3:F20)</f>
        <v>313425058.29999995</v>
      </c>
    </row>
    <row r="22" spans="1:9" x14ac:dyDescent="0.25">
      <c r="C22" s="148">
        <f>C21-C15-C16</f>
        <v>9.2379999999999978</v>
      </c>
    </row>
  </sheetData>
  <mergeCells count="2">
    <mergeCell ref="C2:D2"/>
    <mergeCell ref="E2:F2"/>
  </mergeCells>
  <pageMargins left="0.70866141732283472" right="0.70866141732283472" top="0.74803149606299213" bottom="0.74803149606299213" header="0.31496062992125984" footer="0.31496062992125984"/>
  <pageSetup paperSize="9" scale="79"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29"/>
  <sheetViews>
    <sheetView workbookViewId="0">
      <selection activeCell="K23" sqref="K23"/>
    </sheetView>
  </sheetViews>
  <sheetFormatPr defaultRowHeight="15" x14ac:dyDescent="0.25"/>
  <cols>
    <col min="1" max="1" width="20.85546875" style="59" customWidth="1"/>
    <col min="2" max="2" width="15.7109375" style="59" customWidth="1"/>
    <col min="3" max="4" width="13.7109375" style="75" customWidth="1"/>
    <col min="5" max="6" width="13.7109375" style="59" customWidth="1"/>
    <col min="7" max="7" width="12.85546875" style="59" customWidth="1"/>
    <col min="8" max="16384" width="9.140625" style="59"/>
  </cols>
  <sheetData>
    <row r="3" spans="1:7" x14ac:dyDescent="0.25">
      <c r="A3" s="74" t="s">
        <v>368</v>
      </c>
      <c r="F3" s="816" t="s">
        <v>327</v>
      </c>
      <c r="G3" s="816"/>
    </row>
    <row r="4" spans="1:7" ht="15" customHeight="1" x14ac:dyDescent="0.25">
      <c r="A4" s="774" t="s">
        <v>321</v>
      </c>
      <c r="B4" s="774" t="s">
        <v>324</v>
      </c>
      <c r="C4" s="817" t="s">
        <v>325</v>
      </c>
      <c r="D4" s="818"/>
      <c r="E4" s="818"/>
      <c r="F4" s="819"/>
      <c r="G4" s="774" t="s">
        <v>95</v>
      </c>
    </row>
    <row r="5" spans="1:7" x14ac:dyDescent="0.25">
      <c r="A5" s="774"/>
      <c r="B5" s="774"/>
      <c r="C5" s="76">
        <v>2020</v>
      </c>
      <c r="D5" s="76">
        <v>2021</v>
      </c>
      <c r="E5" s="60">
        <v>2022</v>
      </c>
      <c r="F5" s="60">
        <v>2023</v>
      </c>
      <c r="G5" s="774"/>
    </row>
    <row r="6" spans="1:7" ht="30" x14ac:dyDescent="0.25">
      <c r="A6" s="62" t="s">
        <v>322</v>
      </c>
      <c r="B6" s="61">
        <f>SUM(C6:F6)</f>
        <v>359330.14999999997</v>
      </c>
      <c r="C6" s="77">
        <v>27101.599999999999</v>
      </c>
      <c r="D6" s="77">
        <v>39.25</v>
      </c>
      <c r="E6" s="61">
        <v>332189.3</v>
      </c>
      <c r="F6" s="61">
        <v>0</v>
      </c>
      <c r="G6" s="63">
        <f>B6/$B$9</f>
        <v>0.12697178456580868</v>
      </c>
    </row>
    <row r="7" spans="1:7" x14ac:dyDescent="0.25">
      <c r="A7" s="62" t="s">
        <v>328</v>
      </c>
      <c r="B7" s="61">
        <f>SUM(C7:F7)</f>
        <v>2440394.3989999997</v>
      </c>
      <c r="C7" s="77">
        <v>46883.18</v>
      </c>
      <c r="D7" s="77">
        <v>0</v>
      </c>
      <c r="E7" s="61">
        <v>0</v>
      </c>
      <c r="F7" s="61">
        <v>2393511.2189999996</v>
      </c>
      <c r="G7" s="63">
        <f>B7/$B$9</f>
        <v>0.86233017709600535</v>
      </c>
    </row>
    <row r="8" spans="1:7" x14ac:dyDescent="0.25">
      <c r="A8" s="62" t="s">
        <v>323</v>
      </c>
      <c r="B8" s="61">
        <f>SUM(C8:F8)</f>
        <v>30275.448470000054</v>
      </c>
      <c r="C8" s="77">
        <v>2742.72</v>
      </c>
      <c r="D8" s="77">
        <v>0.4</v>
      </c>
      <c r="E8" s="61">
        <v>3355.4474700000001</v>
      </c>
      <c r="F8" s="61">
        <v>24176.881000000052</v>
      </c>
      <c r="G8" s="63">
        <f>B8/$B$9</f>
        <v>1.0698038338185898E-2</v>
      </c>
    </row>
    <row r="9" spans="1:7" x14ac:dyDescent="0.25">
      <c r="A9" s="60" t="s">
        <v>326</v>
      </c>
      <c r="B9" s="61">
        <f>SUM(C9:F9)</f>
        <v>2829999.9974699998</v>
      </c>
      <c r="C9" s="77">
        <f>SUM(C6:C8)</f>
        <v>76727.5</v>
      </c>
      <c r="D9" s="77">
        <f>SUM(D6:D8)</f>
        <v>39.65</v>
      </c>
      <c r="E9" s="61">
        <f>SUM(E6:E8)</f>
        <v>335544.74747</v>
      </c>
      <c r="F9" s="61">
        <v>2417688.0999999996</v>
      </c>
      <c r="G9" s="63">
        <f>SUM(G6:G8)</f>
        <v>1</v>
      </c>
    </row>
    <row r="10" spans="1:7" x14ac:dyDescent="0.25">
      <c r="B10" s="65">
        <f>SUM(B6:B8)</f>
        <v>2829999.9974699998</v>
      </c>
    </row>
    <row r="11" spans="1:7" x14ac:dyDescent="0.25">
      <c r="B11" s="66"/>
      <c r="C11" s="78">
        <f>C8/C9</f>
        <v>3.574624482747385E-2</v>
      </c>
      <c r="D11" s="78">
        <f>D8/D9</f>
        <v>1.0088272383354352E-2</v>
      </c>
      <c r="E11" s="68">
        <f>E8/E9</f>
        <v>9.9999999859929269E-3</v>
      </c>
      <c r="F11" s="67">
        <f>F8/F9</f>
        <v>1.0000000000000023E-2</v>
      </c>
    </row>
    <row r="12" spans="1:7" x14ac:dyDescent="0.25">
      <c r="B12" s="66"/>
      <c r="C12" s="78"/>
      <c r="D12" s="78"/>
      <c r="E12" s="66"/>
      <c r="F12" s="66"/>
    </row>
    <row r="14" spans="1:7" x14ac:dyDescent="0.25">
      <c r="A14" s="74" t="s">
        <v>366</v>
      </c>
    </row>
    <row r="15" spans="1:7" x14ac:dyDescent="0.25">
      <c r="A15" s="820" t="s">
        <v>321</v>
      </c>
      <c r="B15" s="820" t="s">
        <v>324</v>
      </c>
      <c r="C15" s="820" t="s">
        <v>325</v>
      </c>
      <c r="D15" s="820"/>
      <c r="E15" s="820"/>
      <c r="F15" s="820"/>
      <c r="G15" s="820" t="s">
        <v>95</v>
      </c>
    </row>
    <row r="16" spans="1:7" x14ac:dyDescent="0.25">
      <c r="A16" s="820"/>
      <c r="B16" s="820"/>
      <c r="C16" s="79">
        <v>2020</v>
      </c>
      <c r="D16" s="79">
        <v>2021</v>
      </c>
      <c r="E16" s="69">
        <v>2022</v>
      </c>
      <c r="F16" s="69">
        <v>2023</v>
      </c>
      <c r="G16" s="820"/>
    </row>
    <row r="17" spans="1:13" ht="30" x14ac:dyDescent="0.25">
      <c r="A17" s="70" t="s">
        <v>322</v>
      </c>
      <c r="B17" s="71">
        <f>SUM(C17:F17)</f>
        <v>528592.22</v>
      </c>
      <c r="C17" s="80">
        <v>196363.63</v>
      </c>
      <c r="D17" s="79">
        <v>39.29</v>
      </c>
      <c r="E17" s="71">
        <v>332189.3</v>
      </c>
      <c r="F17" s="69">
        <v>0</v>
      </c>
      <c r="G17" s="72">
        <f>B17/$B$20</f>
        <v>0.22622090945020043</v>
      </c>
    </row>
    <row r="18" spans="1:13" x14ac:dyDescent="0.25">
      <c r="A18" s="70" t="s">
        <v>328</v>
      </c>
      <c r="B18" s="71">
        <f>SUM(C18:F18)</f>
        <v>1784661.22</v>
      </c>
      <c r="C18" s="79">
        <v>0</v>
      </c>
      <c r="D18" s="79">
        <v>0</v>
      </c>
      <c r="E18" s="69">
        <v>0</v>
      </c>
      <c r="F18" s="71">
        <v>1784661.22</v>
      </c>
      <c r="G18" s="72">
        <f>B18/$B$20</f>
        <v>0.76377908900911229</v>
      </c>
    </row>
    <row r="19" spans="1:13" x14ac:dyDescent="0.25">
      <c r="A19" s="70" t="s">
        <v>323</v>
      </c>
      <c r="B19" s="71">
        <f>SUM(C19:F19)</f>
        <v>23366.2</v>
      </c>
      <c r="C19" s="80">
        <v>1983.47</v>
      </c>
      <c r="D19" s="79">
        <v>0.4</v>
      </c>
      <c r="E19" s="71">
        <v>3355.45</v>
      </c>
      <c r="F19" s="71">
        <v>18026.88</v>
      </c>
      <c r="G19" s="72">
        <f>B19/$B$20</f>
        <v>1.0000001540687212E-2</v>
      </c>
    </row>
    <row r="20" spans="1:13" x14ac:dyDescent="0.25">
      <c r="A20" s="69" t="s">
        <v>326</v>
      </c>
      <c r="B20" s="71">
        <f t="shared" ref="B20:G20" si="0">SUM(B17:B19)</f>
        <v>2336619.64</v>
      </c>
      <c r="C20" s="80">
        <f t="shared" si="0"/>
        <v>198347.1</v>
      </c>
      <c r="D20" s="80">
        <f t="shared" si="0"/>
        <v>39.69</v>
      </c>
      <c r="E20" s="71">
        <f t="shared" si="0"/>
        <v>335544.75</v>
      </c>
      <c r="F20" s="71">
        <f t="shared" si="0"/>
        <v>1802688.0999999999</v>
      </c>
      <c r="G20" s="72">
        <f t="shared" si="0"/>
        <v>1</v>
      </c>
    </row>
    <row r="23" spans="1:13" x14ac:dyDescent="0.25">
      <c r="A23" s="74" t="s">
        <v>367</v>
      </c>
    </row>
    <row r="24" spans="1:13" x14ac:dyDescent="0.25">
      <c r="A24" s="820" t="s">
        <v>321</v>
      </c>
      <c r="B24" s="820" t="s">
        <v>324</v>
      </c>
      <c r="C24" s="820" t="s">
        <v>325</v>
      </c>
      <c r="D24" s="820"/>
      <c r="E24" s="820"/>
      <c r="F24" s="820"/>
      <c r="G24" s="820" t="s">
        <v>95</v>
      </c>
      <c r="M24" s="59" t="s">
        <v>74</v>
      </c>
    </row>
    <row r="25" spans="1:13" x14ac:dyDescent="0.25">
      <c r="A25" s="820"/>
      <c r="B25" s="820"/>
      <c r="C25" s="79">
        <v>2020</v>
      </c>
      <c r="D25" s="79">
        <v>2021</v>
      </c>
      <c r="E25" s="69">
        <v>2022</v>
      </c>
      <c r="F25" s="69">
        <v>2023</v>
      </c>
      <c r="G25" s="820"/>
    </row>
    <row r="26" spans="1:13" ht="30" x14ac:dyDescent="0.25">
      <c r="A26" s="70" t="s">
        <v>322</v>
      </c>
      <c r="B26" s="71">
        <f>SUM(C26:F26)</f>
        <v>359330.14999999997</v>
      </c>
      <c r="C26" s="77">
        <v>27101.599999999999</v>
      </c>
      <c r="D26" s="77">
        <v>39.25</v>
      </c>
      <c r="E26" s="61">
        <v>332189.3</v>
      </c>
      <c r="F26" s="61">
        <v>0</v>
      </c>
      <c r="G26" s="73">
        <f>B26/$B$29</f>
        <v>0.16222580153969809</v>
      </c>
    </row>
    <row r="27" spans="1:13" x14ac:dyDescent="0.25">
      <c r="A27" s="70" t="s">
        <v>328</v>
      </c>
      <c r="B27" s="71">
        <f>SUM(C27:F27)</f>
        <v>1831544.4</v>
      </c>
      <c r="C27" s="77">
        <v>46883.18</v>
      </c>
      <c r="D27" s="77">
        <v>0</v>
      </c>
      <c r="E27" s="61">
        <v>0</v>
      </c>
      <c r="F27" s="61">
        <v>1784661.22</v>
      </c>
      <c r="G27" s="73">
        <f>B27/$B$29</f>
        <v>0.82688234857427201</v>
      </c>
    </row>
    <row r="28" spans="1:13" x14ac:dyDescent="0.25">
      <c r="A28" s="70" t="s">
        <v>323</v>
      </c>
      <c r="B28" s="71">
        <f>SUM(C28:F28)</f>
        <v>24125.447469999999</v>
      </c>
      <c r="C28" s="77">
        <v>2742.72</v>
      </c>
      <c r="D28" s="77">
        <v>0.4</v>
      </c>
      <c r="E28" s="61">
        <v>3355.4474700000001</v>
      </c>
      <c r="F28" s="61">
        <v>18026.88</v>
      </c>
      <c r="G28" s="73">
        <f>B28/$B$29</f>
        <v>1.0891849886029968E-2</v>
      </c>
    </row>
    <row r="29" spans="1:13" x14ac:dyDescent="0.25">
      <c r="A29" s="69" t="s">
        <v>326</v>
      </c>
      <c r="B29" s="71">
        <f t="shared" ref="B29:G29" si="1">SUM(B26:B28)</f>
        <v>2214999.9974699998</v>
      </c>
      <c r="C29" s="80">
        <f t="shared" si="1"/>
        <v>76727.5</v>
      </c>
      <c r="D29" s="80">
        <f t="shared" si="1"/>
        <v>39.65</v>
      </c>
      <c r="E29" s="71">
        <f t="shared" si="1"/>
        <v>335544.74747</v>
      </c>
      <c r="F29" s="71">
        <f t="shared" si="1"/>
        <v>1802688.0999999999</v>
      </c>
      <c r="G29" s="72">
        <f t="shared" si="1"/>
        <v>1</v>
      </c>
    </row>
  </sheetData>
  <mergeCells count="13">
    <mergeCell ref="A15:A16"/>
    <mergeCell ref="B15:B16"/>
    <mergeCell ref="C15:F15"/>
    <mergeCell ref="G15:G16"/>
    <mergeCell ref="A24:A25"/>
    <mergeCell ref="B24:B25"/>
    <mergeCell ref="C24:F24"/>
    <mergeCell ref="G24:G25"/>
    <mergeCell ref="F3:G3"/>
    <mergeCell ref="A4:A5"/>
    <mergeCell ref="B4:B5"/>
    <mergeCell ref="G4:G5"/>
    <mergeCell ref="C4:F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6</vt:i4>
      </vt:variant>
    </vt:vector>
  </HeadingPairs>
  <TitlesOfParts>
    <vt:vector size="17" baseType="lpstr">
      <vt:lpstr>целевые показатели</vt:lpstr>
      <vt:lpstr>перечень объектов</vt:lpstr>
      <vt:lpstr>прил.3</vt:lpstr>
      <vt:lpstr>Лист2</vt:lpstr>
      <vt:lpstr>по МК 56</vt:lpstr>
      <vt:lpstr>прил.4 файл не рабочий</vt:lpstr>
      <vt:lpstr>прил.5 файл не рабочий</vt:lpstr>
      <vt:lpstr>ФАКТ 2022</vt:lpstr>
      <vt:lpstr>Лист3</vt:lpstr>
      <vt:lpstr>Лист5</vt:lpstr>
      <vt:lpstr>Лист1</vt:lpstr>
      <vt:lpstr>'целевые показатели'!Заголовки_для_печати</vt:lpstr>
      <vt:lpstr>'перечень объектов'!Область_печати</vt:lpstr>
      <vt:lpstr>прил.3!Область_печати</vt:lpstr>
      <vt:lpstr>'прил.4 файл не рабочий'!Область_печати</vt:lpstr>
      <vt:lpstr>'прил.5 файл не рабочий'!Область_печати</vt:lpstr>
      <vt:lpstr>'целевые показатели'!Область_печати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2024-08-07T09:21:11Z</dcterms:modified>
</cp:coreProperties>
</file>